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11070" activeTab="1"/>
  </bookViews>
  <sheets>
    <sheet name="HSE 125 W " sheetId="1" r:id="rId1"/>
    <sheet name="LED 47 W " sheetId="2" r:id="rId2"/>
  </sheets>
  <definedNames/>
  <calcPr fullCalcOnLoad="1"/>
</workbook>
</file>

<file path=xl/sharedStrings.xml><?xml version="1.0" encoding="utf-8"?>
<sst xmlns="http://schemas.openxmlformats.org/spreadsheetml/2006/main" count="110" uniqueCount="56">
  <si>
    <t>Leuchte</t>
  </si>
  <si>
    <t>Kosten Leuchtmittel / LED Modul [€]</t>
  </si>
  <si>
    <t>Kosten Vorschaltgeräte/ Treiber</t>
  </si>
  <si>
    <t>Material</t>
  </si>
  <si>
    <t>Systemleistung [W]</t>
  </si>
  <si>
    <t>Preis pro kWh [€]</t>
  </si>
  <si>
    <t xml:space="preserve">Tätigkeiten </t>
  </si>
  <si>
    <t>An- und Rückfahrt [min]</t>
  </si>
  <si>
    <t>Installations-/ Wartungszyklen</t>
  </si>
  <si>
    <t>Leuchtenreinigung [a]</t>
  </si>
  <si>
    <t>Tätigkeiten BGV A3 [a]</t>
  </si>
  <si>
    <t>Steigerrüstzeit pro Lichtpunkt [min]</t>
  </si>
  <si>
    <t>Tausch Leuchtmittel/ LED Modul [min]</t>
  </si>
  <si>
    <t>Tausch Vorschaltgeräte/ Treiber [min]</t>
  </si>
  <si>
    <t>Leuchtenreinigung [min]</t>
  </si>
  <si>
    <t>Tätigkeiten BGV A3 [min]</t>
  </si>
  <si>
    <t>Lebensdauer der Leuchte [a]</t>
  </si>
  <si>
    <t>Lebensdauer Leuchtmittel / LED Modul  [a]</t>
  </si>
  <si>
    <t>Lebensdauer Vorschaltgeräte/ Treiber  [a]</t>
  </si>
  <si>
    <t>Fahrtkosten / Steigerkosten pro Stunde [€]</t>
  </si>
  <si>
    <t>Personalkosten 2 Mitarbeiter pro Stunde [€]</t>
  </si>
  <si>
    <t>Kostensteigerungen</t>
  </si>
  <si>
    <t>jährliche Steigerung für Personal</t>
  </si>
  <si>
    <t>Anzahl der Lichtpunkte</t>
  </si>
  <si>
    <t>Jahr</t>
  </si>
  <si>
    <t>Leuchtmittel</t>
  </si>
  <si>
    <t>Tätigkeiten nach BGV A3</t>
  </si>
  <si>
    <t>Vorschalt-geräte</t>
  </si>
  <si>
    <t>Tausch des Leucht- mittels</t>
  </si>
  <si>
    <t>Tausch  Vorschalt- geräte</t>
  </si>
  <si>
    <t>Leuchten- reinigung</t>
  </si>
  <si>
    <t>Materialkosten [€]</t>
  </si>
  <si>
    <t>Fahrtkosten [€]</t>
  </si>
  <si>
    <t>Energiekosten [€]</t>
  </si>
  <si>
    <t>jährliche Steigerung für Material</t>
  </si>
  <si>
    <t>jährliche Steigerung für Energie</t>
  </si>
  <si>
    <t>Installation der Leuchte</t>
  </si>
  <si>
    <t>Personalkosten [€]</t>
  </si>
  <si>
    <t>jährliche Steigerung für Fahrtkosten</t>
  </si>
  <si>
    <t>Energie</t>
  </si>
  <si>
    <t xml:space="preserve">Brenndauer 1 [h] pro Jahr bei Leistung   </t>
  </si>
  <si>
    <t xml:space="preserve">Brenndauer 2 [h] pro Jahr bei Leistung </t>
  </si>
  <si>
    <t>Brenndauer 3 [h] pro Jahr bei Leistung</t>
  </si>
  <si>
    <t xml:space="preserve">Brenndauer 4 [h] pro Jahr bei Leistung  </t>
  </si>
  <si>
    <t>Kosten</t>
  </si>
  <si>
    <t>Gesamt [€]</t>
  </si>
  <si>
    <t>Kapitalwert [€]</t>
  </si>
  <si>
    <t>Summe (0 - 24)</t>
  </si>
  <si>
    <t>Energieeffizienzfaktor bei Komponententausch</t>
  </si>
  <si>
    <t>elektrische Arbeit [kWh]</t>
  </si>
  <si>
    <t>Kalkulationszins</t>
  </si>
  <si>
    <t>LED 47 W mit Sensor</t>
  </si>
  <si>
    <t>Summe (0 - 11)</t>
  </si>
  <si>
    <t>Kosten der Leuchte/ Komponente [€]</t>
  </si>
  <si>
    <t>HME 125 W</t>
  </si>
  <si>
    <t>Tausch Leuchte/ Einbau Zusatzkomponente [min]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</si>
</sst>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33" borderId="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9" fontId="0" fillId="34" borderId="0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0" fontId="0" fillId="33" borderId="14" xfId="0" applyNumberFormat="1" applyFill="1" applyBorder="1" applyAlignment="1">
      <alignment/>
    </xf>
    <xf numFmtId="10" fontId="0" fillId="33" borderId="17" xfId="0" applyNumberForma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3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26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7" xfId="0" applyFill="1" applyBorder="1" applyAlignment="1">
      <alignment wrapText="1"/>
    </xf>
    <xf numFmtId="3" fontId="0" fillId="35" borderId="20" xfId="0" applyNumberFormat="1" applyFill="1" applyBorder="1" applyAlignment="1">
      <alignment/>
    </xf>
    <xf numFmtId="3" fontId="0" fillId="35" borderId="28" xfId="0" applyNumberFormat="1" applyFill="1" applyBorder="1" applyAlignment="1">
      <alignment/>
    </xf>
    <xf numFmtId="3" fontId="0" fillId="35" borderId="22" xfId="0" applyNumberFormat="1" applyFill="1" applyBorder="1" applyAlignment="1">
      <alignment/>
    </xf>
    <xf numFmtId="3" fontId="0" fillId="35" borderId="26" xfId="0" applyNumberFormat="1" applyFill="1" applyBorder="1" applyAlignment="1">
      <alignment/>
    </xf>
    <xf numFmtId="0" fontId="0" fillId="36" borderId="26" xfId="0" applyFill="1" applyBorder="1" applyAlignment="1">
      <alignment wrapText="1"/>
    </xf>
    <xf numFmtId="0" fontId="0" fillId="36" borderId="29" xfId="0" applyFill="1" applyBorder="1" applyAlignment="1">
      <alignment wrapText="1"/>
    </xf>
    <xf numFmtId="3" fontId="0" fillId="36" borderId="28" xfId="0" applyNumberFormat="1" applyFill="1" applyBorder="1" applyAlignment="1">
      <alignment/>
    </xf>
    <xf numFmtId="3" fontId="0" fillId="36" borderId="26" xfId="0" applyNumberFormat="1" applyFill="1" applyBorder="1" applyAlignment="1">
      <alignment/>
    </xf>
    <xf numFmtId="0" fontId="0" fillId="35" borderId="22" xfId="0" applyFill="1" applyBorder="1" applyAlignment="1">
      <alignment wrapText="1"/>
    </xf>
    <xf numFmtId="0" fontId="0" fillId="36" borderId="30" xfId="0" applyFill="1" applyBorder="1" applyAlignment="1">
      <alignment wrapText="1"/>
    </xf>
    <xf numFmtId="0" fontId="0" fillId="36" borderId="15" xfId="0" applyFill="1" applyBorder="1" applyAlignment="1">
      <alignment wrapText="1"/>
    </xf>
    <xf numFmtId="3" fontId="0" fillId="36" borderId="31" xfId="0" applyNumberFormat="1" applyFill="1" applyBorder="1" applyAlignment="1">
      <alignment/>
    </xf>
    <xf numFmtId="3" fontId="0" fillId="36" borderId="30" xfId="0" applyNumberFormat="1" applyFill="1" applyBorder="1" applyAlignment="1">
      <alignment/>
    </xf>
    <xf numFmtId="0" fontId="0" fillId="37" borderId="32" xfId="0" applyFill="1" applyBorder="1" applyAlignment="1">
      <alignment horizontal="center"/>
    </xf>
    <xf numFmtId="3" fontId="0" fillId="37" borderId="33" xfId="0" applyNumberFormat="1" applyFill="1" applyBorder="1" applyAlignment="1">
      <alignment/>
    </xf>
    <xf numFmtId="3" fontId="0" fillId="37" borderId="34" xfId="0" applyNumberFormat="1" applyFill="1" applyBorder="1" applyAlignment="1">
      <alignment/>
    </xf>
    <xf numFmtId="0" fontId="0" fillId="38" borderId="32" xfId="0" applyFill="1" applyBorder="1" applyAlignment="1">
      <alignment horizontal="center"/>
    </xf>
    <xf numFmtId="3" fontId="0" fillId="38" borderId="33" xfId="0" applyNumberFormat="1" applyFill="1" applyBorder="1" applyAlignment="1">
      <alignment/>
    </xf>
    <xf numFmtId="3" fontId="0" fillId="38" borderId="34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2" fillId="0" borderId="0" xfId="0" applyNumberFormat="1" applyFont="1" applyAlignment="1">
      <alignment/>
    </xf>
    <xf numFmtId="0" fontId="0" fillId="36" borderId="35" xfId="0" applyFill="1" applyBorder="1" applyAlignment="1">
      <alignment wrapText="1"/>
    </xf>
    <xf numFmtId="0" fontId="0" fillId="36" borderId="17" xfId="0" applyFill="1" applyBorder="1" applyAlignment="1">
      <alignment wrapText="1"/>
    </xf>
    <xf numFmtId="3" fontId="0" fillId="36" borderId="36" xfId="0" applyNumberFormat="1" applyFill="1" applyBorder="1" applyAlignment="1">
      <alignment/>
    </xf>
    <xf numFmtId="3" fontId="0" fillId="36" borderId="35" xfId="0" applyNumberFormat="1" applyFill="1" applyBorder="1" applyAlignment="1">
      <alignment/>
    </xf>
    <xf numFmtId="0" fontId="0" fillId="35" borderId="23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3" fontId="0" fillId="35" borderId="21" xfId="0" applyNumberFormat="1" applyFill="1" applyBorder="1" applyAlignment="1">
      <alignment/>
    </xf>
    <xf numFmtId="3" fontId="0" fillId="35" borderId="23" xfId="0" applyNumberForma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10" fontId="0" fillId="33" borderId="39" xfId="0" applyNumberForma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38" borderId="33" xfId="0" applyFill="1" applyBorder="1" applyAlignment="1">
      <alignment wrapText="1"/>
    </xf>
    <xf numFmtId="0" fontId="0" fillId="37" borderId="40" xfId="0" applyFill="1" applyBorder="1" applyAlignment="1">
      <alignment/>
    </xf>
    <xf numFmtId="0" fontId="0" fillId="38" borderId="40" xfId="0" applyFill="1" applyBorder="1" applyAlignment="1">
      <alignment/>
    </xf>
    <xf numFmtId="0" fontId="0" fillId="37" borderId="34" xfId="0" applyFill="1" applyBorder="1" applyAlignment="1">
      <alignment/>
    </xf>
    <xf numFmtId="0" fontId="0" fillId="38" borderId="34" xfId="0" applyFill="1" applyBorder="1" applyAlignment="1">
      <alignment/>
    </xf>
    <xf numFmtId="0" fontId="0" fillId="36" borderId="41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3" fontId="2" fillId="0" borderId="0" xfId="0" applyNumberFormat="1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3"/>
  <sheetViews>
    <sheetView zoomScalePageLayoutView="0" workbookViewId="0" topLeftCell="A1">
      <selection activeCell="I5" sqref="I5:J29"/>
    </sheetView>
  </sheetViews>
  <sheetFormatPr defaultColWidth="11.421875" defaultRowHeight="12.75"/>
  <cols>
    <col min="1" max="1" width="2.140625" style="0" customWidth="1"/>
    <col min="2" max="2" width="37.57421875" style="0" customWidth="1"/>
    <col min="3" max="3" width="6.421875" style="0" customWidth="1"/>
    <col min="4" max="4" width="9.00390625" style="0" customWidth="1"/>
    <col min="5" max="5" width="6.8515625" style="0" customWidth="1"/>
    <col min="6" max="6" width="6.421875" style="0" customWidth="1"/>
    <col min="7" max="7" width="6.57421875" style="0" customWidth="1"/>
    <col min="8" max="8" width="9.421875" style="0" customWidth="1"/>
    <col min="9" max="9" width="11.7109375" style="0" customWidth="1"/>
    <col min="10" max="10" width="10.57421875" style="0" customWidth="1"/>
    <col min="13" max="13" width="11.00390625" style="0" customWidth="1"/>
    <col min="14" max="14" width="10.421875" style="0" customWidth="1"/>
    <col min="16" max="16" width="14.28125" style="0" customWidth="1"/>
    <col min="17" max="17" width="17.28125" style="0" customWidth="1"/>
    <col min="19" max="19" width="12.7109375" style="0" customWidth="1"/>
    <col min="21" max="22" width="0" style="0" hidden="1" customWidth="1"/>
  </cols>
  <sheetData>
    <row r="1" ht="13.5" thickBot="1"/>
    <row r="2" spans="6:19" ht="12.75">
      <c r="F2" s="30"/>
      <c r="G2" s="31" t="s">
        <v>24</v>
      </c>
      <c r="H2" s="87" t="s">
        <v>31</v>
      </c>
      <c r="I2" s="88"/>
      <c r="J2" s="89"/>
      <c r="K2" s="84" t="s">
        <v>37</v>
      </c>
      <c r="L2" s="85"/>
      <c r="M2" s="85"/>
      <c r="N2" s="85"/>
      <c r="O2" s="86"/>
      <c r="P2" s="55" t="s">
        <v>32</v>
      </c>
      <c r="Q2" s="58" t="s">
        <v>33</v>
      </c>
      <c r="R2" s="61" t="s">
        <v>45</v>
      </c>
      <c r="S2" s="31" t="s">
        <v>46</v>
      </c>
    </row>
    <row r="3" spans="2:23" ht="39" thickBot="1">
      <c r="B3" s="78" t="s">
        <v>54</v>
      </c>
      <c r="F3" s="34"/>
      <c r="G3" s="35"/>
      <c r="H3" s="50" t="s">
        <v>0</v>
      </c>
      <c r="I3" s="39" t="s">
        <v>25</v>
      </c>
      <c r="J3" s="71" t="s">
        <v>27</v>
      </c>
      <c r="K3" s="67" t="s">
        <v>36</v>
      </c>
      <c r="L3" s="46" t="s">
        <v>28</v>
      </c>
      <c r="M3" s="46" t="s">
        <v>29</v>
      </c>
      <c r="N3" s="46" t="s">
        <v>30</v>
      </c>
      <c r="O3" s="51" t="s">
        <v>26</v>
      </c>
      <c r="P3" s="82"/>
      <c r="Q3" s="83"/>
      <c r="R3" s="34"/>
      <c r="S3" s="35"/>
      <c r="W3" s="79" t="s">
        <v>49</v>
      </c>
    </row>
    <row r="4" spans="6:19" ht="12.75">
      <c r="F4" s="37"/>
      <c r="G4" s="38"/>
      <c r="H4" s="40"/>
      <c r="I4" s="41"/>
      <c r="J4" s="72"/>
      <c r="K4" s="68"/>
      <c r="L4" s="47"/>
      <c r="M4" s="47"/>
      <c r="N4" s="47"/>
      <c r="O4" s="52"/>
      <c r="P4" s="80"/>
      <c r="Q4" s="81"/>
      <c r="R4" s="37"/>
      <c r="S4" s="38"/>
    </row>
    <row r="5" spans="2:23" ht="12.75">
      <c r="B5" s="15" t="s">
        <v>3</v>
      </c>
      <c r="C5" s="16"/>
      <c r="D5" s="17"/>
      <c r="F5" s="32">
        <f aca="true" t="shared" si="0" ref="F5:F30">2014+G5</f>
        <v>2014</v>
      </c>
      <c r="G5" s="33">
        <v>0</v>
      </c>
      <c r="H5" s="42">
        <f aca="true" t="shared" si="1" ref="H5:H29">IF($D$9=0,"",IF(MOD(($D$10-G5),$D$10)=0,$D$7*$D$9*(1+$D$56)^G5,""))</f>
      </c>
      <c r="I5" s="43">
        <f>IF(H5&lt;&gt;0,IF(H6="",IF(H5="",IF(MOD(($D$13-G5),$D$13)=0,$D$7*$D$12*(1+$D$56)^G5,""),""),""),"")</f>
        <v>80</v>
      </c>
      <c r="J5" s="73">
        <f>IF($D$15&lt;&gt;0,IF(G5&lt;&gt;0,IF(H6="",IF(H5="",IF(MOD(($D$16-G5),$D$16)=0,$D$7*$D$15*(1+$D$56)^G5,""),""),""),""),"")</f>
      </c>
      <c r="K5" s="69">
        <f aca="true" t="shared" si="2" ref="K5:K30">IF(H5&lt;&gt;"",$D$7*$D$50*$D$34/60*(1+$D$55)^G5,"")</f>
      </c>
      <c r="L5" s="48">
        <f aca="true" t="shared" si="3" ref="L5:L30">IF(I5&lt;&gt;"",$D$7*$D$50*$D$35/60*(1+$D$55)^G5,"")</f>
        <v>60</v>
      </c>
      <c r="M5" s="48">
        <f aca="true" t="shared" si="4" ref="M5:M30">IF(J5&lt;&gt;"",$D$7*$D$50*$D$36/60*(1+$D$55)^G5,"")</f>
      </c>
      <c r="N5" s="48">
        <f aca="true" t="shared" si="5" ref="N5:N30">IF(H6="",IF(H5="",IF(MOD(($D$43-G5),$D$43)=0,$D$7*$D$37/60*$D$50*(1+$D$55)^G5,""),""),"")</f>
        <v>100</v>
      </c>
      <c r="O5" s="53">
        <f aca="true" t="shared" si="6" ref="O5:O30">IF(H6="",IF(H5="",IF(MOD(($D$44-G5),$D$44)=0,$D$7*$D$38/60*$D$50*(1+$D$55)^G5,""),""),"")</f>
        <v>60</v>
      </c>
      <c r="P5" s="56">
        <f aca="true" t="shared" si="7" ref="P5:P30">IF(K5&lt;&gt;"",($D$7*$D$49*$D$33/60+$D$49*$D$32/60)*(1+$D$58)^G5,IF(L5&lt;&gt;"",($D$7*$D$49*$D$33/60+$D$49*$D$32/60)*(1+$D$58)^G5,IF(M5&lt;&gt;"",($D$7*$D$49*$D$33/60+$D$49*$D$32/60)*(1+$D$58)^G5,IF(N5&lt;&gt;"",($D$7*$D$49*$D$33/60+$D$49*$D$32/60)*(1+$D$58)^G5,IF(O5&lt;&gt;"",($D$7*$D$49*$D$33/60+$D$49*$D$32/60)*(1+$D$58)^G5,"")))))</f>
        <v>195</v>
      </c>
      <c r="Q5" s="59">
        <f aca="true" t="shared" si="8" ref="Q5:Q29">IF(U5&gt;0,$D$7*($C$22*$D$22+$C$23*$D$23+$C$24*$D$24+$C$25*$D$25)*$D$27*(1+$D$57)^G5*$D$21/1000/((1+$D$63)^V5),$D$7*($C$22*$D$22+$C$23*$D$23+$C$24*$D$24+$C$25*$D$25)*$D$27*(1+$D$57)^G5*$D$21/1000)</f>
        <v>931.6000000000001</v>
      </c>
      <c r="R5" s="62">
        <f aca="true" t="shared" si="9" ref="R5:R30">SUM(H5:Q5)</f>
        <v>1426.6000000000001</v>
      </c>
      <c r="S5" s="63">
        <f aca="true" t="shared" si="10" ref="S5:S30">R5/(1+$D$60)^G5</f>
        <v>1426.6000000000001</v>
      </c>
      <c r="U5">
        <f aca="true" t="shared" si="11" ref="U5:U29">IF(L5="",U4,U4+1)</f>
        <v>1</v>
      </c>
      <c r="V5">
        <f aca="true" t="shared" si="12" ref="V5:V29">IF(L5="",V4,G4+1)</f>
        <v>1</v>
      </c>
      <c r="W5" s="2">
        <f aca="true" t="shared" si="13" ref="W5:W29">IF(U5&gt;0,$D$7*($C$22*$D$22+$C$23*$D$23+$C$24*$D$24+$C$25*$D$25)*$D$21/1000/((1+$D$63)^V5),$D$7*($C$22*$D$22+$C$23*$D$23+$C$24*$D$24+$C$25*$D$25)*$D$21/1000)</f>
        <v>5480</v>
      </c>
    </row>
    <row r="6" spans="2:23" ht="12.75">
      <c r="B6" s="27"/>
      <c r="C6" s="4"/>
      <c r="D6" s="19"/>
      <c r="F6" s="32">
        <f t="shared" si="0"/>
        <v>2015</v>
      </c>
      <c r="G6" s="33">
        <f aca="true" t="shared" si="14" ref="G6:G30">G5+1</f>
        <v>1</v>
      </c>
      <c r="H6" s="42">
        <f t="shared" si="1"/>
      </c>
      <c r="I6" s="43">
        <f aca="true" t="shared" si="15" ref="I6:I29">IF(H6&lt;&gt;0,IF(H7="",IF(H6="",IF(MOD(($D$13-G6),$D$13)=0,$D$7*$D$12*(1+$D$56)^G6,""),""),""),"")</f>
      </c>
      <c r="J6" s="73">
        <f aca="true" t="shared" si="16" ref="J6:J29">IF($D$15&lt;&gt;0,IF(G6&lt;&gt;0,IF(H7="",IF(H6="",IF(MOD(($D$16-G6),$D$16)=0,$D$7*$D$15*(1+$D$56)^G6,""),""),""),""),"")</f>
      </c>
      <c r="K6" s="69">
        <f t="shared" si="2"/>
      </c>
      <c r="L6" s="48">
        <f t="shared" si="3"/>
      </c>
      <c r="M6" s="48">
        <f t="shared" si="4"/>
      </c>
      <c r="N6" s="48">
        <f t="shared" si="5"/>
      </c>
      <c r="O6" s="53">
        <f t="shared" si="6"/>
      </c>
      <c r="P6" s="56">
        <f t="shared" si="7"/>
      </c>
      <c r="Q6" s="59">
        <f t="shared" si="8"/>
        <v>945.574</v>
      </c>
      <c r="R6" s="62">
        <f t="shared" si="9"/>
        <v>945.574</v>
      </c>
      <c r="S6" s="63">
        <f t="shared" si="10"/>
        <v>927.0333333333333</v>
      </c>
      <c r="U6">
        <f t="shared" si="11"/>
        <v>1</v>
      </c>
      <c r="V6">
        <f t="shared" si="12"/>
        <v>1</v>
      </c>
      <c r="W6" s="2">
        <f t="shared" si="13"/>
        <v>5480</v>
      </c>
    </row>
    <row r="7" spans="2:23" ht="12.75">
      <c r="B7" s="28" t="s">
        <v>23</v>
      </c>
      <c r="C7" s="4"/>
      <c r="D7" s="19">
        <v>10</v>
      </c>
      <c r="F7" s="32">
        <f t="shared" si="0"/>
        <v>2016</v>
      </c>
      <c r="G7" s="33">
        <f t="shared" si="14"/>
        <v>2</v>
      </c>
      <c r="H7" s="42">
        <f t="shared" si="1"/>
      </c>
      <c r="I7" s="43">
        <f t="shared" si="15"/>
      </c>
      <c r="J7" s="73">
        <f t="shared" si="16"/>
      </c>
      <c r="K7" s="69">
        <f t="shared" si="2"/>
      </c>
      <c r="L7" s="48">
        <f t="shared" si="3"/>
      </c>
      <c r="M7" s="48">
        <f t="shared" si="4"/>
      </c>
      <c r="N7" s="48">
        <f t="shared" si="5"/>
      </c>
      <c r="O7" s="53">
        <f t="shared" si="6"/>
      </c>
      <c r="P7" s="56">
        <f t="shared" si="7"/>
      </c>
      <c r="Q7" s="59">
        <f t="shared" si="8"/>
        <v>959.7576099999999</v>
      </c>
      <c r="R7" s="62">
        <f t="shared" si="9"/>
        <v>959.7576099999999</v>
      </c>
      <c r="S7" s="63">
        <f t="shared" si="10"/>
        <v>922.4890522875816</v>
      </c>
      <c r="U7">
        <f t="shared" si="11"/>
        <v>1</v>
      </c>
      <c r="V7">
        <f t="shared" si="12"/>
        <v>1</v>
      </c>
      <c r="W7" s="2">
        <f t="shared" si="13"/>
        <v>5480</v>
      </c>
    </row>
    <row r="8" spans="2:23" ht="12.75">
      <c r="B8" s="18"/>
      <c r="C8" s="4"/>
      <c r="D8" s="19"/>
      <c r="F8" s="32">
        <f t="shared" si="0"/>
        <v>2017</v>
      </c>
      <c r="G8" s="33">
        <f t="shared" si="14"/>
        <v>3</v>
      </c>
      <c r="H8" s="42">
        <f t="shared" si="1"/>
      </c>
      <c r="I8" s="43">
        <f t="shared" si="15"/>
        <v>83.65426999999997</v>
      </c>
      <c r="J8" s="73">
        <f t="shared" si="16"/>
      </c>
      <c r="K8" s="69">
        <f t="shared" si="2"/>
      </c>
      <c r="L8" s="48">
        <f t="shared" si="3"/>
        <v>63.67247999999999</v>
      </c>
      <c r="M8" s="48">
        <f t="shared" si="4"/>
      </c>
      <c r="N8" s="48">
        <f t="shared" si="5"/>
        <v>106.12079999999999</v>
      </c>
      <c r="O8" s="53">
        <f t="shared" si="6"/>
        <v>63.67247999999999</v>
      </c>
      <c r="P8" s="56">
        <f t="shared" si="7"/>
        <v>203.90728312499994</v>
      </c>
      <c r="Q8" s="59">
        <f t="shared" si="8"/>
        <v>974.1539741499997</v>
      </c>
      <c r="R8" s="62">
        <f t="shared" si="9"/>
        <v>1495.1812872749997</v>
      </c>
      <c r="S8" s="63">
        <f t="shared" si="10"/>
        <v>1408.942721196033</v>
      </c>
      <c r="U8">
        <f t="shared" si="11"/>
        <v>2</v>
      </c>
      <c r="V8">
        <f t="shared" si="12"/>
        <v>3</v>
      </c>
      <c r="W8" s="2">
        <f t="shared" si="13"/>
        <v>5480</v>
      </c>
    </row>
    <row r="9" spans="2:23" ht="12.75">
      <c r="B9" s="18" t="s">
        <v>53</v>
      </c>
      <c r="C9" s="4"/>
      <c r="D9" s="19">
        <v>0</v>
      </c>
      <c r="F9" s="32">
        <f t="shared" si="0"/>
        <v>2018</v>
      </c>
      <c r="G9" s="33">
        <f t="shared" si="14"/>
        <v>4</v>
      </c>
      <c r="H9" s="42">
        <f t="shared" si="1"/>
      </c>
      <c r="I9" s="43">
        <f t="shared" si="15"/>
      </c>
      <c r="J9" s="73">
        <f t="shared" si="16"/>
      </c>
      <c r="K9" s="69">
        <f t="shared" si="2"/>
      </c>
      <c r="L9" s="48">
        <f t="shared" si="3"/>
      </c>
      <c r="M9" s="48">
        <f t="shared" si="4"/>
      </c>
      <c r="N9" s="48">
        <f t="shared" si="5"/>
      </c>
      <c r="O9" s="53">
        <f t="shared" si="6"/>
      </c>
      <c r="P9" s="56">
        <f t="shared" si="7"/>
      </c>
      <c r="Q9" s="59">
        <f t="shared" si="8"/>
        <v>988.7662837622496</v>
      </c>
      <c r="R9" s="62">
        <f t="shared" si="9"/>
        <v>988.7662837622496</v>
      </c>
      <c r="S9" s="63">
        <f t="shared" si="10"/>
        <v>913.4672086629887</v>
      </c>
      <c r="U9">
        <f t="shared" si="11"/>
        <v>2</v>
      </c>
      <c r="V9">
        <f t="shared" si="12"/>
        <v>3</v>
      </c>
      <c r="W9" s="2">
        <f t="shared" si="13"/>
        <v>5480</v>
      </c>
    </row>
    <row r="10" spans="2:23" ht="12.75">
      <c r="B10" s="18" t="s">
        <v>16</v>
      </c>
      <c r="C10" s="4"/>
      <c r="D10" s="19">
        <v>25</v>
      </c>
      <c r="F10" s="32">
        <f t="shared" si="0"/>
        <v>2019</v>
      </c>
      <c r="G10" s="33">
        <f t="shared" si="14"/>
        <v>5</v>
      </c>
      <c r="H10" s="42">
        <f t="shared" si="1"/>
      </c>
      <c r="I10" s="43">
        <f t="shared" si="15"/>
      </c>
      <c r="J10" s="73">
        <f t="shared" si="16"/>
      </c>
      <c r="K10" s="69">
        <f t="shared" si="2"/>
      </c>
      <c r="L10" s="48">
        <f t="shared" si="3"/>
      </c>
      <c r="M10" s="48">
        <f t="shared" si="4"/>
      </c>
      <c r="N10" s="48">
        <f t="shared" si="5"/>
      </c>
      <c r="O10" s="53">
        <f t="shared" si="6"/>
      </c>
      <c r="P10" s="56">
        <f t="shared" si="7"/>
      </c>
      <c r="Q10" s="59">
        <f t="shared" si="8"/>
        <v>1003.5977780186834</v>
      </c>
      <c r="R10" s="62">
        <f t="shared" si="9"/>
        <v>1003.5977780186834</v>
      </c>
      <c r="S10" s="63">
        <f t="shared" si="10"/>
        <v>908.9894282283663</v>
      </c>
      <c r="U10">
        <f t="shared" si="11"/>
        <v>2</v>
      </c>
      <c r="V10">
        <f t="shared" si="12"/>
        <v>3</v>
      </c>
      <c r="W10" s="2">
        <f t="shared" si="13"/>
        <v>5480</v>
      </c>
    </row>
    <row r="11" spans="2:23" ht="12.75">
      <c r="B11" s="18"/>
      <c r="C11" s="4"/>
      <c r="D11" s="19"/>
      <c r="F11" s="32">
        <f t="shared" si="0"/>
        <v>2020</v>
      </c>
      <c r="G11" s="33">
        <f t="shared" si="14"/>
        <v>6</v>
      </c>
      <c r="H11" s="42">
        <f t="shared" si="1"/>
      </c>
      <c r="I11" s="43">
        <f t="shared" si="15"/>
        <v>87.47546111541118</v>
      </c>
      <c r="J11" s="73">
        <f t="shared" si="16"/>
      </c>
      <c r="K11" s="69">
        <f t="shared" si="2"/>
      </c>
      <c r="L11" s="48">
        <f t="shared" si="3"/>
        <v>67.56974515584001</v>
      </c>
      <c r="M11" s="48">
        <f t="shared" si="4"/>
      </c>
      <c r="N11" s="48">
        <f t="shared" si="5"/>
        <v>112.61624192640001</v>
      </c>
      <c r="O11" s="53">
        <f t="shared" si="6"/>
        <v>67.56974515584001</v>
      </c>
      <c r="P11" s="56">
        <f t="shared" si="7"/>
        <v>213.22143646881474</v>
      </c>
      <c r="Q11" s="59">
        <f t="shared" si="8"/>
        <v>1018.6517446889632</v>
      </c>
      <c r="R11" s="62">
        <f t="shared" si="9"/>
        <v>1567.104374511269</v>
      </c>
      <c r="S11" s="63">
        <f t="shared" si="10"/>
        <v>1391.5438374647995</v>
      </c>
      <c r="U11">
        <f t="shared" si="11"/>
        <v>3</v>
      </c>
      <c r="V11">
        <f t="shared" si="12"/>
        <v>6</v>
      </c>
      <c r="W11" s="2">
        <f t="shared" si="13"/>
        <v>5480</v>
      </c>
    </row>
    <row r="12" spans="2:23" ht="12.75">
      <c r="B12" s="18" t="s">
        <v>1</v>
      </c>
      <c r="C12" s="4"/>
      <c r="D12" s="19">
        <v>8</v>
      </c>
      <c r="F12" s="32">
        <f t="shared" si="0"/>
        <v>2021</v>
      </c>
      <c r="G12" s="33">
        <f t="shared" si="14"/>
        <v>7</v>
      </c>
      <c r="H12" s="42">
        <f t="shared" si="1"/>
      </c>
      <c r="I12" s="43">
        <f t="shared" si="15"/>
      </c>
      <c r="J12" s="73">
        <f t="shared" si="16"/>
      </c>
      <c r="K12" s="69">
        <f t="shared" si="2"/>
      </c>
      <c r="L12" s="48">
        <f t="shared" si="3"/>
      </c>
      <c r="M12" s="48">
        <f t="shared" si="4"/>
      </c>
      <c r="N12" s="48">
        <f t="shared" si="5"/>
      </c>
      <c r="O12" s="53">
        <f t="shared" si="6"/>
      </c>
      <c r="P12" s="56">
        <f t="shared" si="7"/>
      </c>
      <c r="Q12" s="59">
        <f t="shared" si="8"/>
        <v>1033.9315208592975</v>
      </c>
      <c r="R12" s="62">
        <f t="shared" si="9"/>
        <v>1033.9315208592975</v>
      </c>
      <c r="S12" s="63">
        <f t="shared" si="10"/>
        <v>900.0996094738257</v>
      </c>
      <c r="U12">
        <f t="shared" si="11"/>
        <v>3</v>
      </c>
      <c r="V12">
        <f t="shared" si="12"/>
        <v>6</v>
      </c>
      <c r="W12" s="2">
        <f t="shared" si="13"/>
        <v>5480</v>
      </c>
    </row>
    <row r="13" spans="2:23" ht="12.75">
      <c r="B13" s="18" t="s">
        <v>17</v>
      </c>
      <c r="C13" s="4"/>
      <c r="D13" s="19">
        <v>3</v>
      </c>
      <c r="F13" s="32">
        <f t="shared" si="0"/>
        <v>2022</v>
      </c>
      <c r="G13" s="33">
        <f t="shared" si="14"/>
        <v>8</v>
      </c>
      <c r="H13" s="42">
        <f t="shared" si="1"/>
      </c>
      <c r="I13" s="43">
        <f t="shared" si="15"/>
      </c>
      <c r="J13" s="73">
        <f t="shared" si="16"/>
      </c>
      <c r="K13" s="69">
        <f t="shared" si="2"/>
      </c>
      <c r="L13" s="48">
        <f t="shared" si="3"/>
      </c>
      <c r="M13" s="48">
        <f t="shared" si="4"/>
      </c>
      <c r="N13" s="48">
        <f t="shared" si="5"/>
      </c>
      <c r="O13" s="53">
        <f t="shared" si="6"/>
      </c>
      <c r="P13" s="56">
        <f t="shared" si="7"/>
      </c>
      <c r="Q13" s="59">
        <f t="shared" si="8"/>
        <v>1049.440493672187</v>
      </c>
      <c r="R13" s="62">
        <f t="shared" si="9"/>
        <v>1049.440493672187</v>
      </c>
      <c r="S13" s="63">
        <f t="shared" si="10"/>
        <v>895.6873564862087</v>
      </c>
      <c r="U13">
        <f t="shared" si="11"/>
        <v>3</v>
      </c>
      <c r="V13">
        <f t="shared" si="12"/>
        <v>6</v>
      </c>
      <c r="W13" s="2">
        <f t="shared" si="13"/>
        <v>5480</v>
      </c>
    </row>
    <row r="14" spans="2:23" ht="12.75">
      <c r="B14" s="18"/>
      <c r="C14" s="4"/>
      <c r="D14" s="19"/>
      <c r="F14" s="32">
        <f t="shared" si="0"/>
        <v>2023</v>
      </c>
      <c r="G14" s="33">
        <f t="shared" si="14"/>
        <v>9</v>
      </c>
      <c r="H14" s="42">
        <f t="shared" si="1"/>
      </c>
      <c r="I14" s="43">
        <f t="shared" si="15"/>
        <v>91.47119803153882</v>
      </c>
      <c r="J14" s="73">
        <f t="shared" si="16"/>
      </c>
      <c r="K14" s="69">
        <f t="shared" si="2"/>
      </c>
      <c r="L14" s="48">
        <f t="shared" si="3"/>
        <v>71.70555411733865</v>
      </c>
      <c r="M14" s="48">
        <f t="shared" si="4"/>
      </c>
      <c r="N14" s="48">
        <f t="shared" si="5"/>
        <v>119.50925686223108</v>
      </c>
      <c r="O14" s="53">
        <f t="shared" si="6"/>
        <v>71.70555411733865</v>
      </c>
      <c r="P14" s="56">
        <f t="shared" si="7"/>
        <v>222.96104520187586</v>
      </c>
      <c r="Q14" s="59">
        <f t="shared" si="8"/>
        <v>1065.1821010772696</v>
      </c>
      <c r="R14" s="62">
        <f t="shared" si="9"/>
        <v>1642.5347094075928</v>
      </c>
      <c r="S14" s="63">
        <f t="shared" si="10"/>
        <v>1374.39956747542</v>
      </c>
      <c r="U14">
        <f t="shared" si="11"/>
        <v>4</v>
      </c>
      <c r="V14">
        <f t="shared" si="12"/>
        <v>9</v>
      </c>
      <c r="W14" s="2">
        <f t="shared" si="13"/>
        <v>5480</v>
      </c>
    </row>
    <row r="15" spans="2:23" ht="12.75">
      <c r="B15" s="18" t="s">
        <v>2</v>
      </c>
      <c r="C15" s="4"/>
      <c r="D15" s="19">
        <v>20</v>
      </c>
      <c r="F15" s="32">
        <f t="shared" si="0"/>
        <v>2024</v>
      </c>
      <c r="G15" s="33">
        <f t="shared" si="14"/>
        <v>10</v>
      </c>
      <c r="H15" s="42">
        <f t="shared" si="1"/>
      </c>
      <c r="I15" s="43">
        <f t="shared" si="15"/>
      </c>
      <c r="J15" s="73">
        <f t="shared" si="16"/>
      </c>
      <c r="K15" s="69">
        <f t="shared" si="2"/>
      </c>
      <c r="L15" s="48">
        <f t="shared" si="3"/>
      </c>
      <c r="M15" s="48">
        <f t="shared" si="4"/>
      </c>
      <c r="N15" s="48">
        <f t="shared" si="5"/>
      </c>
      <c r="O15" s="53">
        <f t="shared" si="6"/>
      </c>
      <c r="P15" s="56">
        <f t="shared" si="7"/>
      </c>
      <c r="Q15" s="59">
        <f t="shared" si="8"/>
        <v>1081.1598325934285</v>
      </c>
      <c r="R15" s="62">
        <f t="shared" si="9"/>
        <v>1081.1598325934285</v>
      </c>
      <c r="S15" s="63">
        <f t="shared" si="10"/>
        <v>886.9276305613266</v>
      </c>
      <c r="U15">
        <f t="shared" si="11"/>
        <v>4</v>
      </c>
      <c r="V15">
        <f t="shared" si="12"/>
        <v>9</v>
      </c>
      <c r="W15" s="2">
        <f t="shared" si="13"/>
        <v>5480</v>
      </c>
    </row>
    <row r="16" spans="2:23" ht="12.75">
      <c r="B16" s="21" t="s">
        <v>18</v>
      </c>
      <c r="C16" s="22"/>
      <c r="D16" s="29">
        <v>25</v>
      </c>
      <c r="F16" s="32">
        <f t="shared" si="0"/>
        <v>2025</v>
      </c>
      <c r="G16" s="33">
        <f t="shared" si="14"/>
        <v>11</v>
      </c>
      <c r="H16" s="42">
        <f t="shared" si="1"/>
      </c>
      <c r="I16" s="43">
        <f t="shared" si="15"/>
      </c>
      <c r="J16" s="73">
        <f t="shared" si="16"/>
      </c>
      <c r="K16" s="69">
        <f t="shared" si="2"/>
      </c>
      <c r="L16" s="48">
        <f t="shared" si="3"/>
      </c>
      <c r="M16" s="48">
        <f t="shared" si="4"/>
      </c>
      <c r="N16" s="48">
        <f t="shared" si="5"/>
      </c>
      <c r="O16" s="53">
        <f t="shared" si="6"/>
      </c>
      <c r="P16" s="56">
        <f t="shared" si="7"/>
      </c>
      <c r="Q16" s="59">
        <f t="shared" si="8"/>
        <v>1097.3772300823298</v>
      </c>
      <c r="R16" s="62">
        <f t="shared" si="9"/>
        <v>1097.3772300823298</v>
      </c>
      <c r="S16" s="63">
        <f t="shared" si="10"/>
        <v>882.5799460977908</v>
      </c>
      <c r="U16">
        <f t="shared" si="11"/>
        <v>4</v>
      </c>
      <c r="V16">
        <f t="shared" si="12"/>
        <v>9</v>
      </c>
      <c r="W16" s="2">
        <f t="shared" si="13"/>
        <v>5480</v>
      </c>
    </row>
    <row r="17" spans="6:23" ht="12.75">
      <c r="F17" s="32">
        <f t="shared" si="0"/>
        <v>2026</v>
      </c>
      <c r="G17" s="33">
        <f t="shared" si="14"/>
        <v>12</v>
      </c>
      <c r="H17" s="42">
        <f t="shared" si="1"/>
      </c>
      <c r="I17" s="43">
        <f t="shared" si="15"/>
        <v>95.64945371692266</v>
      </c>
      <c r="J17" s="73">
        <f t="shared" si="16"/>
      </c>
      <c r="K17" s="69">
        <f t="shared" si="2"/>
      </c>
      <c r="L17" s="48">
        <f t="shared" si="3"/>
        <v>76.09450767375272</v>
      </c>
      <c r="M17" s="48">
        <f t="shared" si="4"/>
      </c>
      <c r="N17" s="48">
        <f t="shared" si="5"/>
        <v>126.82417945625453</v>
      </c>
      <c r="O17" s="53">
        <f t="shared" si="6"/>
        <v>76.09450767375272</v>
      </c>
      <c r="P17" s="56">
        <f t="shared" si="7"/>
        <v>233.14554343499898</v>
      </c>
      <c r="Q17" s="59">
        <f t="shared" si="8"/>
        <v>1113.8378885335644</v>
      </c>
      <c r="R17" s="62">
        <f t="shared" si="9"/>
        <v>1721.646080489246</v>
      </c>
      <c r="S17" s="63">
        <f t="shared" si="10"/>
        <v>1357.5061852326776</v>
      </c>
      <c r="U17">
        <f t="shared" si="11"/>
        <v>5</v>
      </c>
      <c r="V17">
        <f t="shared" si="12"/>
        <v>12</v>
      </c>
      <c r="W17" s="2">
        <f t="shared" si="13"/>
        <v>5480</v>
      </c>
    </row>
    <row r="18" spans="6:23" ht="12.75">
      <c r="F18" s="32">
        <f t="shared" si="0"/>
        <v>2027</v>
      </c>
      <c r="G18" s="33">
        <f t="shared" si="14"/>
        <v>13</v>
      </c>
      <c r="H18" s="42">
        <f t="shared" si="1"/>
      </c>
      <c r="I18" s="43">
        <f t="shared" si="15"/>
      </c>
      <c r="J18" s="73">
        <f t="shared" si="16"/>
      </c>
      <c r="K18" s="69">
        <f t="shared" si="2"/>
      </c>
      <c r="L18" s="48">
        <f t="shared" si="3"/>
      </c>
      <c r="M18" s="48">
        <f t="shared" si="4"/>
      </c>
      <c r="N18" s="48">
        <f t="shared" si="5"/>
      </c>
      <c r="O18" s="53">
        <f t="shared" si="6"/>
      </c>
      <c r="P18" s="56">
        <f t="shared" si="7"/>
      </c>
      <c r="Q18" s="59">
        <f t="shared" si="8"/>
        <v>1130.545456861568</v>
      </c>
      <c r="R18" s="62">
        <f t="shared" si="9"/>
        <v>1130.545456861568</v>
      </c>
      <c r="S18" s="63">
        <f t="shared" si="10"/>
        <v>873.9484092354827</v>
      </c>
      <c r="U18">
        <f t="shared" si="11"/>
        <v>5</v>
      </c>
      <c r="V18">
        <f t="shared" si="12"/>
        <v>12</v>
      </c>
      <c r="W18" s="2">
        <f t="shared" si="13"/>
        <v>5480</v>
      </c>
    </row>
    <row r="19" spans="2:23" ht="12.75">
      <c r="B19" s="5" t="s">
        <v>39</v>
      </c>
      <c r="C19" s="6"/>
      <c r="D19" s="7"/>
      <c r="F19" s="32">
        <f t="shared" si="0"/>
        <v>2028</v>
      </c>
      <c r="G19" s="33">
        <f t="shared" si="14"/>
        <v>14</v>
      </c>
      <c r="H19" s="42">
        <f t="shared" si="1"/>
      </c>
      <c r="I19" s="43">
        <f t="shared" si="15"/>
      </c>
      <c r="J19" s="73">
        <f t="shared" si="16"/>
      </c>
      <c r="K19" s="69">
        <f t="shared" si="2"/>
      </c>
      <c r="L19" s="48">
        <f t="shared" si="3"/>
      </c>
      <c r="M19" s="48">
        <f t="shared" si="4"/>
      </c>
      <c r="N19" s="48">
        <f t="shared" si="5"/>
      </c>
      <c r="O19" s="53">
        <f t="shared" si="6"/>
      </c>
      <c r="P19" s="56">
        <f t="shared" si="7"/>
      </c>
      <c r="Q19" s="59">
        <f t="shared" si="8"/>
        <v>1147.5036387144912</v>
      </c>
      <c r="R19" s="62">
        <f t="shared" si="9"/>
        <v>1147.5036387144912</v>
      </c>
      <c r="S19" s="63">
        <f t="shared" si="10"/>
        <v>869.6643484058967</v>
      </c>
      <c r="U19">
        <f t="shared" si="11"/>
        <v>5</v>
      </c>
      <c r="V19">
        <f t="shared" si="12"/>
        <v>12</v>
      </c>
      <c r="W19" s="2">
        <f t="shared" si="13"/>
        <v>5480</v>
      </c>
    </row>
    <row r="20" spans="2:23" ht="12.75">
      <c r="B20" s="8"/>
      <c r="C20" s="9"/>
      <c r="D20" s="10"/>
      <c r="F20" s="32">
        <f t="shared" si="0"/>
        <v>2029</v>
      </c>
      <c r="G20" s="33">
        <f t="shared" si="14"/>
        <v>15</v>
      </c>
      <c r="H20" s="42">
        <f t="shared" si="1"/>
      </c>
      <c r="I20" s="43">
        <f t="shared" si="15"/>
        <v>100.01856533234935</v>
      </c>
      <c r="J20" s="73">
        <f t="shared" si="16"/>
      </c>
      <c r="K20" s="69">
        <f t="shared" si="2"/>
      </c>
      <c r="L20" s="48">
        <f t="shared" si="3"/>
        <v>80.75210029944775</v>
      </c>
      <c r="M20" s="48">
        <f t="shared" si="4"/>
      </c>
      <c r="N20" s="48">
        <f t="shared" si="5"/>
        <v>134.58683383241294</v>
      </c>
      <c r="O20" s="53">
        <f t="shared" si="6"/>
        <v>80.75210029944775</v>
      </c>
      <c r="P20" s="56">
        <f t="shared" si="7"/>
        <v>243.79525299760155</v>
      </c>
      <c r="Q20" s="59">
        <f t="shared" si="8"/>
        <v>1164.7161932952083</v>
      </c>
      <c r="R20" s="62">
        <f t="shared" si="9"/>
        <v>1804.6210460564675</v>
      </c>
      <c r="S20" s="63">
        <f t="shared" si="10"/>
        <v>1340.8600192672454</v>
      </c>
      <c r="U20">
        <f t="shared" si="11"/>
        <v>6</v>
      </c>
      <c r="V20">
        <f t="shared" si="12"/>
        <v>15</v>
      </c>
      <c r="W20" s="2">
        <f t="shared" si="13"/>
        <v>5480</v>
      </c>
    </row>
    <row r="21" spans="2:23" ht="12.75">
      <c r="B21" s="8" t="s">
        <v>4</v>
      </c>
      <c r="C21" s="9"/>
      <c r="D21" s="10">
        <v>137</v>
      </c>
      <c r="F21" s="32">
        <f t="shared" si="0"/>
        <v>2030</v>
      </c>
      <c r="G21" s="33">
        <f t="shared" si="14"/>
        <v>16</v>
      </c>
      <c r="H21" s="42">
        <f t="shared" si="1"/>
      </c>
      <c r="I21" s="43">
        <f t="shared" si="15"/>
      </c>
      <c r="J21" s="73">
        <f t="shared" si="16"/>
      </c>
      <c r="K21" s="69">
        <f t="shared" si="2"/>
      </c>
      <c r="L21" s="48">
        <f t="shared" si="3"/>
      </c>
      <c r="M21" s="48">
        <f t="shared" si="4"/>
      </c>
      <c r="N21" s="48">
        <f t="shared" si="5"/>
      </c>
      <c r="O21" s="53">
        <f t="shared" si="6"/>
      </c>
      <c r="P21" s="56">
        <f t="shared" si="7"/>
      </c>
      <c r="Q21" s="59">
        <f t="shared" si="8"/>
        <v>1182.1869361946362</v>
      </c>
      <c r="R21" s="62">
        <f t="shared" si="9"/>
        <v>1182.1869361946362</v>
      </c>
      <c r="S21" s="63">
        <f t="shared" si="10"/>
        <v>861.1591246986396</v>
      </c>
      <c r="U21">
        <f t="shared" si="11"/>
        <v>6</v>
      </c>
      <c r="V21">
        <f t="shared" si="12"/>
        <v>15</v>
      </c>
      <c r="W21" s="2">
        <f t="shared" si="13"/>
        <v>5480</v>
      </c>
    </row>
    <row r="22" spans="2:23" ht="12.75">
      <c r="B22" s="8" t="s">
        <v>40</v>
      </c>
      <c r="C22" s="11">
        <v>1</v>
      </c>
      <c r="D22" s="10">
        <v>4000</v>
      </c>
      <c r="F22" s="32">
        <f t="shared" si="0"/>
        <v>2031</v>
      </c>
      <c r="G22" s="33">
        <f t="shared" si="14"/>
        <v>17</v>
      </c>
      <c r="H22" s="42">
        <f t="shared" si="1"/>
      </c>
      <c r="I22" s="43">
        <f t="shared" si="15"/>
      </c>
      <c r="J22" s="73">
        <f t="shared" si="16"/>
      </c>
      <c r="K22" s="69">
        <f t="shared" si="2"/>
      </c>
      <c r="L22" s="48">
        <f t="shared" si="3"/>
      </c>
      <c r="M22" s="48">
        <f t="shared" si="4"/>
      </c>
      <c r="N22" s="48">
        <f t="shared" si="5"/>
      </c>
      <c r="O22" s="53">
        <f t="shared" si="6"/>
      </c>
      <c r="P22" s="56">
        <f t="shared" si="7"/>
      </c>
      <c r="Q22" s="59">
        <f t="shared" si="8"/>
        <v>1199.919740237556</v>
      </c>
      <c r="R22" s="62">
        <f t="shared" si="9"/>
        <v>1199.919740237556</v>
      </c>
      <c r="S22" s="63">
        <f t="shared" si="10"/>
        <v>856.937756440313</v>
      </c>
      <c r="U22">
        <f t="shared" si="11"/>
        <v>6</v>
      </c>
      <c r="V22">
        <f t="shared" si="12"/>
        <v>15</v>
      </c>
      <c r="W22" s="2">
        <f t="shared" si="13"/>
        <v>5480</v>
      </c>
    </row>
    <row r="23" spans="2:23" ht="12.75">
      <c r="B23" s="8" t="s">
        <v>41</v>
      </c>
      <c r="C23" s="11">
        <v>0.75</v>
      </c>
      <c r="D23" s="10"/>
      <c r="F23" s="32">
        <f t="shared" si="0"/>
        <v>2032</v>
      </c>
      <c r="G23" s="33">
        <f t="shared" si="14"/>
        <v>18</v>
      </c>
      <c r="H23" s="42">
        <f t="shared" si="1"/>
      </c>
      <c r="I23" s="43">
        <f t="shared" si="15"/>
        <v>104.58725086656237</v>
      </c>
      <c r="J23" s="73">
        <f t="shared" si="16"/>
      </c>
      <c r="K23" s="69">
        <f t="shared" si="2"/>
      </c>
      <c r="L23" s="48">
        <f t="shared" si="3"/>
        <v>85.69477485457637</v>
      </c>
      <c r="M23" s="48">
        <f t="shared" si="4"/>
      </c>
      <c r="N23" s="48">
        <f t="shared" si="5"/>
        <v>142.82462475762728</v>
      </c>
      <c r="O23" s="53">
        <f t="shared" si="6"/>
        <v>85.69477485457637</v>
      </c>
      <c r="P23" s="56">
        <f t="shared" si="7"/>
        <v>254.93142398724578</v>
      </c>
      <c r="Q23" s="59">
        <f t="shared" si="8"/>
        <v>1217.9185363411189</v>
      </c>
      <c r="R23" s="62">
        <f t="shared" si="9"/>
        <v>1891.651385661707</v>
      </c>
      <c r="S23" s="63">
        <f t="shared" si="10"/>
        <v>1324.457451837756</v>
      </c>
      <c r="U23">
        <f t="shared" si="11"/>
        <v>7</v>
      </c>
      <c r="V23">
        <f t="shared" si="12"/>
        <v>18</v>
      </c>
      <c r="W23" s="2">
        <f t="shared" si="13"/>
        <v>5480</v>
      </c>
    </row>
    <row r="24" spans="2:23" ht="12.75">
      <c r="B24" s="8" t="s">
        <v>42</v>
      </c>
      <c r="C24" s="11">
        <v>0.5</v>
      </c>
      <c r="D24" s="10"/>
      <c r="F24" s="32">
        <f t="shared" si="0"/>
        <v>2033</v>
      </c>
      <c r="G24" s="33">
        <f t="shared" si="14"/>
        <v>19</v>
      </c>
      <c r="H24" s="42">
        <f t="shared" si="1"/>
      </c>
      <c r="I24" s="43">
        <f t="shared" si="15"/>
      </c>
      <c r="J24" s="73">
        <f t="shared" si="16"/>
      </c>
      <c r="K24" s="69">
        <f t="shared" si="2"/>
      </c>
      <c r="L24" s="48">
        <f t="shared" si="3"/>
      </c>
      <c r="M24" s="48">
        <f t="shared" si="4"/>
      </c>
      <c r="N24" s="48">
        <f t="shared" si="5"/>
      </c>
      <c r="O24" s="53">
        <f t="shared" si="6"/>
      </c>
      <c r="P24" s="56">
        <f t="shared" si="7"/>
      </c>
      <c r="Q24" s="59">
        <f t="shared" si="8"/>
        <v>1236.1873143862356</v>
      </c>
      <c r="R24" s="62">
        <f t="shared" si="9"/>
        <v>1236.1873143862356</v>
      </c>
      <c r="S24" s="63">
        <f t="shared" si="10"/>
        <v>848.5569974324502</v>
      </c>
      <c r="U24">
        <f t="shared" si="11"/>
        <v>7</v>
      </c>
      <c r="V24">
        <f t="shared" si="12"/>
        <v>18</v>
      </c>
      <c r="W24" s="2">
        <f t="shared" si="13"/>
        <v>5480</v>
      </c>
    </row>
    <row r="25" spans="2:23" ht="12.75">
      <c r="B25" s="8" t="s">
        <v>43</v>
      </c>
      <c r="C25" s="11">
        <v>0.25</v>
      </c>
      <c r="D25" s="10"/>
      <c r="F25" s="32">
        <f t="shared" si="0"/>
        <v>2034</v>
      </c>
      <c r="G25" s="33">
        <f t="shared" si="14"/>
        <v>20</v>
      </c>
      <c r="H25" s="42">
        <f t="shared" si="1"/>
      </c>
      <c r="I25" s="43">
        <f t="shared" si="15"/>
      </c>
      <c r="J25" s="73">
        <f t="shared" si="16"/>
      </c>
      <c r="K25" s="69">
        <f t="shared" si="2"/>
      </c>
      <c r="L25" s="48">
        <f t="shared" si="3"/>
      </c>
      <c r="M25" s="48">
        <f t="shared" si="4"/>
      </c>
      <c r="N25" s="48">
        <f t="shared" si="5"/>
      </c>
      <c r="O25" s="53">
        <f t="shared" si="6"/>
      </c>
      <c r="P25" s="56">
        <f t="shared" si="7"/>
      </c>
      <c r="Q25" s="59">
        <f t="shared" si="8"/>
        <v>1254.7301241020289</v>
      </c>
      <c r="R25" s="62">
        <f t="shared" si="9"/>
        <v>1254.7301241020289</v>
      </c>
      <c r="S25" s="63">
        <f t="shared" si="10"/>
        <v>844.3974043077811</v>
      </c>
      <c r="U25">
        <f t="shared" si="11"/>
        <v>7</v>
      </c>
      <c r="V25">
        <f t="shared" si="12"/>
        <v>18</v>
      </c>
      <c r="W25" s="2">
        <f t="shared" si="13"/>
        <v>5480</v>
      </c>
    </row>
    <row r="26" spans="2:23" ht="12.75">
      <c r="B26" s="8"/>
      <c r="C26" s="9"/>
      <c r="D26" s="10"/>
      <c r="F26" s="32">
        <f t="shared" si="0"/>
        <v>2035</v>
      </c>
      <c r="G26" s="33">
        <f t="shared" si="14"/>
        <v>21</v>
      </c>
      <c r="H26" s="42">
        <f t="shared" si="1"/>
      </c>
      <c r="I26" s="43">
        <f t="shared" si="15"/>
        <v>109.36462653186423</v>
      </c>
      <c r="J26" s="73">
        <f t="shared" si="16"/>
      </c>
      <c r="K26" s="69">
        <f t="shared" si="2"/>
      </c>
      <c r="L26" s="48">
        <f t="shared" si="3"/>
        <v>90.93998063387528</v>
      </c>
      <c r="M26" s="48">
        <f t="shared" si="4"/>
      </c>
      <c r="N26" s="48">
        <f t="shared" si="5"/>
        <v>151.5666343897921</v>
      </c>
      <c r="O26" s="53">
        <f t="shared" si="6"/>
        <v>90.93998063387528</v>
      </c>
      <c r="P26" s="56">
        <f t="shared" si="7"/>
        <v>266.57627717141906</v>
      </c>
      <c r="Q26" s="59">
        <f t="shared" si="8"/>
        <v>1273.551075963559</v>
      </c>
      <c r="R26" s="62">
        <f t="shared" si="9"/>
        <v>1982.938575324385</v>
      </c>
      <c r="S26" s="63">
        <f t="shared" si="10"/>
        <v>1308.294918144553</v>
      </c>
      <c r="U26">
        <f t="shared" si="11"/>
        <v>8</v>
      </c>
      <c r="V26">
        <f t="shared" si="12"/>
        <v>21</v>
      </c>
      <c r="W26" s="2">
        <f t="shared" si="13"/>
        <v>5480</v>
      </c>
    </row>
    <row r="27" spans="2:23" ht="12.75">
      <c r="B27" s="12" t="s">
        <v>5</v>
      </c>
      <c r="C27" s="13"/>
      <c r="D27" s="14">
        <v>0.17</v>
      </c>
      <c r="F27" s="32">
        <f t="shared" si="0"/>
        <v>2036</v>
      </c>
      <c r="G27" s="33">
        <f t="shared" si="14"/>
        <v>22</v>
      </c>
      <c r="H27" s="42">
        <f t="shared" si="1"/>
      </c>
      <c r="I27" s="43">
        <f t="shared" si="15"/>
      </c>
      <c r="J27" s="73">
        <f t="shared" si="16"/>
      </c>
      <c r="K27" s="69">
        <f t="shared" si="2"/>
      </c>
      <c r="L27" s="48">
        <f t="shared" si="3"/>
      </c>
      <c r="M27" s="48">
        <f t="shared" si="4"/>
      </c>
      <c r="N27" s="48">
        <f t="shared" si="5"/>
      </c>
      <c r="O27" s="53">
        <f t="shared" si="6"/>
      </c>
      <c r="P27" s="56">
        <f t="shared" si="7"/>
      </c>
      <c r="Q27" s="59">
        <f t="shared" si="8"/>
        <v>1292.6543421030121</v>
      </c>
      <c r="R27" s="62">
        <f t="shared" si="9"/>
        <v>1292.6543421030121</v>
      </c>
      <c r="S27" s="63">
        <f t="shared" si="10"/>
        <v>836.1392885937942</v>
      </c>
      <c r="U27">
        <f t="shared" si="11"/>
        <v>8</v>
      </c>
      <c r="V27">
        <f t="shared" si="12"/>
        <v>21</v>
      </c>
      <c r="W27" s="2">
        <f t="shared" si="13"/>
        <v>5480</v>
      </c>
    </row>
    <row r="28" spans="6:23" ht="12.75">
      <c r="F28" s="32">
        <f t="shared" si="0"/>
        <v>2037</v>
      </c>
      <c r="G28" s="33">
        <f t="shared" si="14"/>
        <v>23</v>
      </c>
      <c r="H28" s="42">
        <f t="shared" si="1"/>
      </c>
      <c r="I28" s="43">
        <f t="shared" si="15"/>
      </c>
      <c r="J28" s="73">
        <f t="shared" si="16"/>
      </c>
      <c r="K28" s="69">
        <f t="shared" si="2"/>
      </c>
      <c r="L28" s="48">
        <f t="shared" si="3"/>
      </c>
      <c r="M28" s="48">
        <f t="shared" si="4"/>
      </c>
      <c r="N28" s="48">
        <f t="shared" si="5"/>
      </c>
      <c r="O28" s="53">
        <f t="shared" si="6"/>
      </c>
      <c r="P28" s="56">
        <f t="shared" si="7"/>
      </c>
      <c r="Q28" s="59">
        <f t="shared" si="8"/>
        <v>1312.0441572345574</v>
      </c>
      <c r="R28" s="62">
        <f t="shared" si="9"/>
        <v>1312.0441572345574</v>
      </c>
      <c r="S28" s="63">
        <f t="shared" si="10"/>
        <v>832.0405665908836</v>
      </c>
      <c r="U28">
        <f t="shared" si="11"/>
        <v>8</v>
      </c>
      <c r="V28">
        <f t="shared" si="12"/>
        <v>21</v>
      </c>
      <c r="W28" s="2">
        <f t="shared" si="13"/>
        <v>5480</v>
      </c>
    </row>
    <row r="29" spans="6:23" ht="13.5" thickBot="1">
      <c r="F29" s="34">
        <f t="shared" si="0"/>
        <v>2038</v>
      </c>
      <c r="G29" s="35">
        <f t="shared" si="14"/>
        <v>24</v>
      </c>
      <c r="H29" s="44">
        <f t="shared" si="1"/>
      </c>
      <c r="I29" s="45">
        <f t="shared" si="15"/>
      </c>
      <c r="J29" s="74">
        <f t="shared" si="16"/>
      </c>
      <c r="K29" s="70">
        <f t="shared" si="2"/>
      </c>
      <c r="L29" s="49">
        <f t="shared" si="3"/>
      </c>
      <c r="M29" s="49">
        <f t="shared" si="4"/>
      </c>
      <c r="N29" s="49">
        <f t="shared" si="5"/>
      </c>
      <c r="O29" s="54">
        <f t="shared" si="6"/>
      </c>
      <c r="P29" s="57">
        <f t="shared" si="7"/>
      </c>
      <c r="Q29" s="60">
        <f t="shared" si="8"/>
        <v>1331.7248195930754</v>
      </c>
      <c r="R29" s="64">
        <f t="shared" si="9"/>
        <v>1331.7248195930754</v>
      </c>
      <c r="S29" s="65">
        <f t="shared" si="10"/>
        <v>827.9619363624967</v>
      </c>
      <c r="U29">
        <f t="shared" si="11"/>
        <v>8</v>
      </c>
      <c r="V29">
        <f t="shared" si="12"/>
        <v>21</v>
      </c>
      <c r="W29" s="2">
        <f t="shared" si="13"/>
        <v>5480</v>
      </c>
    </row>
    <row r="30" spans="2:19" ht="12.75">
      <c r="B30" s="15" t="s">
        <v>6</v>
      </c>
      <c r="C30" s="16"/>
      <c r="D30" s="17"/>
      <c r="F30" s="36">
        <f t="shared" si="0"/>
        <v>2039</v>
      </c>
      <c r="G30" s="36">
        <f t="shared" si="14"/>
        <v>25</v>
      </c>
      <c r="H30" s="36">
        <f>IF(MOD(($D$10-G30),$D$10)=0,$D$7*$D$9*(1+$D$56)^G30,"")</f>
        <v>0</v>
      </c>
      <c r="I30" s="36">
        <f>IF(H31="",IF(H30="",IF(MOD(($D$13-G30),$D$13)=0,$D$7*$D$12*(1+$D$56)^G30,""),""),"")</f>
      </c>
      <c r="J30" s="36">
        <f>IF(H31="",IF(H30="",IF(MOD(($D$16-G30),$D$16)=0,$D$7*$D$15*(1+$D$56)^G30,""),""),"")</f>
      </c>
      <c r="K30" s="36">
        <f t="shared" si="2"/>
        <v>492.1817983394189</v>
      </c>
      <c r="L30" s="36">
        <f t="shared" si="3"/>
      </c>
      <c r="M30" s="36">
        <f t="shared" si="4"/>
      </c>
      <c r="N30" s="36">
        <f t="shared" si="5"/>
      </c>
      <c r="O30" s="36">
        <f t="shared" si="6"/>
      </c>
      <c r="P30" s="36">
        <f t="shared" si="7"/>
        <v>282.9343440510513</v>
      </c>
      <c r="Q30" s="36">
        <f>$D$7*($C$22*$D$22+$C$23*$D$23+$C$24*$D$24+$C$25*$D$25)*$D$27*(1+$D$57)^G30*$D$21/1000</f>
        <v>1351.7006918869718</v>
      </c>
      <c r="R30" s="36">
        <f t="shared" si="9"/>
        <v>2126.816834277442</v>
      </c>
      <c r="S30" s="36">
        <f t="shared" si="10"/>
        <v>1296.3605164513283</v>
      </c>
    </row>
    <row r="31" spans="2:19" ht="12.75">
      <c r="B31" s="18"/>
      <c r="C31" s="4"/>
      <c r="D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23" ht="12.75">
      <c r="B32" s="18" t="s">
        <v>7</v>
      </c>
      <c r="C32" s="4"/>
      <c r="D32" s="20">
        <v>30</v>
      </c>
      <c r="H32" s="2"/>
      <c r="I32" s="2"/>
      <c r="J32" s="2"/>
      <c r="K32" s="2"/>
      <c r="L32" s="2"/>
      <c r="M32" s="2"/>
      <c r="N32" s="2"/>
      <c r="O32" s="2"/>
      <c r="P32" s="90" t="s">
        <v>52</v>
      </c>
      <c r="Q32" s="90"/>
      <c r="R32" s="2">
        <f>SUM(R4:R16)</f>
        <v>14291.025120182037</v>
      </c>
      <c r="S32" s="66">
        <f>SUM(S4:S16)</f>
        <v>12838.759691267674</v>
      </c>
      <c r="W32" s="2">
        <f>SUM(W5:W16)</f>
        <v>65760</v>
      </c>
    </row>
    <row r="33" spans="2:23" ht="12.75">
      <c r="B33" s="18" t="s">
        <v>11</v>
      </c>
      <c r="C33" s="4"/>
      <c r="D33" s="20">
        <v>10</v>
      </c>
      <c r="H33" s="2"/>
      <c r="I33" s="2"/>
      <c r="J33" s="2"/>
      <c r="K33" s="2"/>
      <c r="L33" s="2"/>
      <c r="M33" s="2"/>
      <c r="N33" s="2"/>
      <c r="O33" s="2"/>
      <c r="P33" s="90" t="s">
        <v>47</v>
      </c>
      <c r="Q33" s="90"/>
      <c r="R33" s="2">
        <f>SUM(R5:R29)</f>
        <v>32779.37873714101</v>
      </c>
      <c r="S33" s="66">
        <f>SUM(S5:S29)</f>
        <v>25820.68409781764</v>
      </c>
      <c r="W33" s="2">
        <f>SUM(W5:W29)</f>
        <v>137000</v>
      </c>
    </row>
    <row r="34" spans="2:17" ht="12.75">
      <c r="B34" s="18" t="s">
        <v>55</v>
      </c>
      <c r="C34" s="4"/>
      <c r="D34" s="20">
        <v>15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9" ht="12.75">
      <c r="B35" s="18" t="s">
        <v>12</v>
      </c>
      <c r="C35" s="4"/>
      <c r="D35" s="20">
        <v>3</v>
      </c>
      <c r="H35" s="2"/>
      <c r="I35" s="2"/>
      <c r="J35" s="2"/>
      <c r="K35" s="2"/>
      <c r="L35" s="2"/>
      <c r="M35" s="2"/>
      <c r="N35" s="2"/>
      <c r="O35" s="2"/>
      <c r="P35" s="2"/>
      <c r="Q35" s="3"/>
      <c r="S35" s="2"/>
    </row>
    <row r="36" spans="2:17" ht="12.75">
      <c r="B36" s="18" t="s">
        <v>13</v>
      </c>
      <c r="C36" s="4"/>
      <c r="D36" s="20">
        <v>7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2.75">
      <c r="B37" s="18" t="s">
        <v>14</v>
      </c>
      <c r="C37" s="4"/>
      <c r="D37" s="20">
        <v>5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4" ht="12.75">
      <c r="B38" s="21" t="s">
        <v>15</v>
      </c>
      <c r="C38" s="22"/>
      <c r="D38" s="23">
        <v>3</v>
      </c>
    </row>
    <row r="41" spans="2:4" ht="12.75">
      <c r="B41" s="15" t="s">
        <v>8</v>
      </c>
      <c r="C41" s="16"/>
      <c r="D41" s="17"/>
    </row>
    <row r="42" spans="2:4" ht="12.75">
      <c r="B42" s="18"/>
      <c r="C42" s="4"/>
      <c r="D42" s="19"/>
    </row>
    <row r="43" spans="2:4" ht="12.75">
      <c r="B43" s="18" t="s">
        <v>9</v>
      </c>
      <c r="C43" s="4"/>
      <c r="D43" s="20">
        <v>3</v>
      </c>
    </row>
    <row r="44" spans="2:4" ht="12.75">
      <c r="B44" s="21" t="s">
        <v>10</v>
      </c>
      <c r="C44" s="22"/>
      <c r="D44" s="23">
        <v>3</v>
      </c>
    </row>
    <row r="45" ht="12.75">
      <c r="D45" s="1"/>
    </row>
    <row r="46" ht="12.75">
      <c r="D46" s="1"/>
    </row>
    <row r="47" spans="2:4" ht="12.75">
      <c r="B47" s="15" t="s">
        <v>44</v>
      </c>
      <c r="C47" s="16"/>
      <c r="D47" s="24"/>
    </row>
    <row r="48" spans="2:4" ht="12.75">
      <c r="B48" s="18"/>
      <c r="C48" s="4"/>
      <c r="D48" s="20"/>
    </row>
    <row r="49" spans="2:4" ht="12.75">
      <c r="B49" s="18" t="s">
        <v>19</v>
      </c>
      <c r="C49" s="4"/>
      <c r="D49" s="20">
        <v>90</v>
      </c>
    </row>
    <row r="50" spans="2:4" ht="12.75">
      <c r="B50" s="21" t="s">
        <v>20</v>
      </c>
      <c r="C50" s="22"/>
      <c r="D50" s="23">
        <v>120</v>
      </c>
    </row>
    <row r="53" spans="2:4" ht="12.75">
      <c r="B53" s="15" t="s">
        <v>21</v>
      </c>
      <c r="C53" s="16"/>
      <c r="D53" s="17"/>
    </row>
    <row r="54" spans="2:4" ht="12.75">
      <c r="B54" s="18"/>
      <c r="C54" s="4"/>
      <c r="D54" s="19"/>
    </row>
    <row r="55" spans="2:4" ht="12.75">
      <c r="B55" s="18" t="s">
        <v>22</v>
      </c>
      <c r="C55" s="4"/>
      <c r="D55" s="25">
        <v>0.02</v>
      </c>
    </row>
    <row r="56" spans="2:4" ht="12.75">
      <c r="B56" s="18" t="s">
        <v>34</v>
      </c>
      <c r="C56" s="4"/>
      <c r="D56" s="25">
        <v>0.015</v>
      </c>
    </row>
    <row r="57" spans="2:4" ht="12.75">
      <c r="B57" s="18" t="s">
        <v>35</v>
      </c>
      <c r="C57" s="4"/>
      <c r="D57" s="25">
        <v>0.015</v>
      </c>
    </row>
    <row r="58" spans="2:4" ht="12.75">
      <c r="B58" s="18" t="s">
        <v>38</v>
      </c>
      <c r="C58" s="4"/>
      <c r="D58" s="25">
        <v>0.015</v>
      </c>
    </row>
    <row r="59" spans="2:4" ht="12.75">
      <c r="B59" s="18"/>
      <c r="C59" s="4"/>
      <c r="D59" s="19"/>
    </row>
    <row r="60" spans="2:4" ht="12.75">
      <c r="B60" s="21" t="s">
        <v>50</v>
      </c>
      <c r="C60" s="22"/>
      <c r="D60" s="26">
        <v>0.02</v>
      </c>
    </row>
    <row r="62" ht="13.5" thickBot="1"/>
    <row r="63" spans="2:4" ht="13.5" thickBot="1">
      <c r="B63" s="75" t="s">
        <v>48</v>
      </c>
      <c r="C63" s="76"/>
      <c r="D63" s="77">
        <v>0</v>
      </c>
    </row>
  </sheetData>
  <sheetProtection/>
  <mergeCells count="4">
    <mergeCell ref="K2:O2"/>
    <mergeCell ref="H2:J2"/>
    <mergeCell ref="P33:Q33"/>
    <mergeCell ref="P32:Q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63"/>
  <sheetViews>
    <sheetView tabSelected="1" zoomScalePageLayoutView="0" workbookViewId="0" topLeftCell="A1">
      <selection activeCell="I5" sqref="I5:J29"/>
    </sheetView>
  </sheetViews>
  <sheetFormatPr defaultColWidth="11.421875" defaultRowHeight="12.75"/>
  <cols>
    <col min="1" max="1" width="2.140625" style="0" customWidth="1"/>
    <col min="2" max="2" width="37.57421875" style="0" customWidth="1"/>
    <col min="3" max="3" width="6.421875" style="0" customWidth="1"/>
    <col min="4" max="4" width="9.00390625" style="0" customWidth="1"/>
    <col min="5" max="5" width="6.8515625" style="0" customWidth="1"/>
    <col min="6" max="6" width="6.421875" style="0" customWidth="1"/>
    <col min="7" max="7" width="6.57421875" style="0" customWidth="1"/>
    <col min="8" max="8" width="9.421875" style="0" customWidth="1"/>
    <col min="9" max="9" width="11.7109375" style="0" customWidth="1"/>
    <col min="10" max="10" width="10.57421875" style="0" customWidth="1"/>
    <col min="13" max="13" width="11.00390625" style="0" customWidth="1"/>
    <col min="14" max="14" width="10.421875" style="0" customWidth="1"/>
    <col min="16" max="16" width="14.28125" style="0" customWidth="1"/>
    <col min="17" max="17" width="17.28125" style="0" customWidth="1"/>
    <col min="19" max="19" width="12.7109375" style="0" customWidth="1"/>
    <col min="21" max="22" width="0" style="0" hidden="1" customWidth="1"/>
  </cols>
  <sheetData>
    <row r="1" ht="13.5" thickBot="1"/>
    <row r="2" spans="6:19" ht="12.75">
      <c r="F2" s="30"/>
      <c r="G2" s="31" t="s">
        <v>24</v>
      </c>
      <c r="H2" s="87" t="s">
        <v>31</v>
      </c>
      <c r="I2" s="88"/>
      <c r="J2" s="89"/>
      <c r="K2" s="84" t="s">
        <v>37</v>
      </c>
      <c r="L2" s="85"/>
      <c r="M2" s="85"/>
      <c r="N2" s="85"/>
      <c r="O2" s="86"/>
      <c r="P2" s="55" t="s">
        <v>32</v>
      </c>
      <c r="Q2" s="58" t="s">
        <v>33</v>
      </c>
      <c r="R2" s="61" t="s">
        <v>45</v>
      </c>
      <c r="S2" s="31" t="s">
        <v>46</v>
      </c>
    </row>
    <row r="3" spans="2:23" ht="39" thickBot="1">
      <c r="B3" s="78" t="s">
        <v>51</v>
      </c>
      <c r="F3" s="34"/>
      <c r="G3" s="35"/>
      <c r="H3" s="50" t="s">
        <v>0</v>
      </c>
      <c r="I3" s="39" t="s">
        <v>25</v>
      </c>
      <c r="J3" s="71" t="s">
        <v>27</v>
      </c>
      <c r="K3" s="67" t="s">
        <v>36</v>
      </c>
      <c r="L3" s="46" t="s">
        <v>28</v>
      </c>
      <c r="M3" s="46" t="s">
        <v>29</v>
      </c>
      <c r="N3" s="46" t="s">
        <v>30</v>
      </c>
      <c r="O3" s="51" t="s">
        <v>26</v>
      </c>
      <c r="P3" s="82"/>
      <c r="Q3" s="83"/>
      <c r="R3" s="34"/>
      <c r="S3" s="35"/>
      <c r="W3" s="79" t="s">
        <v>49</v>
      </c>
    </row>
    <row r="4" spans="6:19" ht="12.75">
      <c r="F4" s="37"/>
      <c r="G4" s="38"/>
      <c r="H4" s="40"/>
      <c r="I4" s="41"/>
      <c r="J4" s="72"/>
      <c r="K4" s="68"/>
      <c r="L4" s="47"/>
      <c r="M4" s="47"/>
      <c r="N4" s="47"/>
      <c r="O4" s="52"/>
      <c r="P4" s="80"/>
      <c r="Q4" s="81"/>
      <c r="R4" s="37"/>
      <c r="S4" s="38"/>
    </row>
    <row r="5" spans="2:23" ht="12.75">
      <c r="B5" s="15" t="s">
        <v>3</v>
      </c>
      <c r="C5" s="16"/>
      <c r="D5" s="17"/>
      <c r="F5" s="32">
        <f aca="true" t="shared" si="0" ref="F5:F30">2014+G5</f>
        <v>2014</v>
      </c>
      <c r="G5" s="33">
        <v>0</v>
      </c>
      <c r="H5" s="42">
        <f aca="true" t="shared" si="1" ref="H5:H29">IF($D$9=0,"",IF(MOD(($D$10-G5),$D$10)=0,$D$7*$D$9*(1+$D$56)^G5,""))</f>
        <v>9600</v>
      </c>
      <c r="I5" s="43">
        <f>IF(H5&lt;&gt;0,IF(H6="",IF(H5="",IF(MOD(($D$13-G5),$D$13)=0,$D$7*$D$12*(1+$D$56)^G5,""),""),""),"")</f>
      </c>
      <c r="J5" s="73">
        <f>IF($D$15&lt;&gt;0,IF(G5&lt;&gt;0,IF(H6="",IF(H5="",IF(MOD(($D$16-G5),$D$16)=0,$D$7*$D$15*(1+$D$56)^G5,""),""),""),""),"")</f>
      </c>
      <c r="K5" s="69">
        <f aca="true" t="shared" si="2" ref="K5:K30">IF(H5&lt;&gt;"",$D$7*$D$50*$D$34/60*(1+$D$55)^G5,"")</f>
        <v>600</v>
      </c>
      <c r="L5" s="48">
        <f aca="true" t="shared" si="3" ref="L5:L30">IF(I5&lt;&gt;"",$D$7*$D$50*$D$35/60*(1+$D$55)^G5,"")</f>
      </c>
      <c r="M5" s="48">
        <f aca="true" t="shared" si="4" ref="M5:M30">IF(J5&lt;&gt;"",$D$7*$D$50*$D$36/60*(1+$D$55)^G5,"")</f>
      </c>
      <c r="N5" s="48">
        <f aca="true" t="shared" si="5" ref="N5:N30">IF(H6="",IF(H5="",IF(MOD(($D$43-G5),$D$43)=0,$D$7*$D$37/60*$D$50*(1+$D$55)^G5,""),""),"")</f>
      </c>
      <c r="O5" s="53">
        <f aca="true" t="shared" si="6" ref="O5:O30">IF(H6="",IF(H5="",IF(MOD(($D$44-G5),$D$44)=0,$D$7*$D$38/60*$D$50*(1+$D$55)^G5,""),""),"")</f>
      </c>
      <c r="P5" s="56">
        <f aca="true" t="shared" si="7" ref="P5:P30">IF(K5&lt;&gt;"",($D$7*$D$49*$D$33/60+$D$49*$D$32/60)*(1+$D$58)^G5,IF(L5&lt;&gt;"",($D$7*$D$49*$D$33/60+$D$49*$D$32/60)*(1+$D$58)^G5,IF(M5&lt;&gt;"",($D$7*$D$49*$D$33/60+$D$49*$D$32/60)*(1+$D$58)^G5,IF(N5&lt;&gt;"",($D$7*$D$49*$D$33/60+$D$49*$D$32/60)*(1+$D$58)^G5,IF(O5&lt;&gt;"",($D$7*$D$49*$D$33/60+$D$49*$D$32/60)*(1+$D$58)^G5,"")))))</f>
        <v>195</v>
      </c>
      <c r="Q5" s="59">
        <f aca="true" t="shared" si="8" ref="Q5:Q29">IF(U5&gt;0,$D$7*($C$22*$D$22+$C$23*$D$23+$C$24*$D$24+$C$25*$D$25)*$D$27*(1+$D$57)^G5*$D$21/1000/((1+$D$63)^V5),$D$7*($C$22*$D$22+$C$23*$D$23+$C$24*$D$24+$C$25*$D$25)*$D$27*(1+$D$57)^G5*$D$21/1000)</f>
        <v>183.77000000000004</v>
      </c>
      <c r="R5" s="62">
        <f aca="true" t="shared" si="9" ref="R5:R30">SUM(H5:Q5)</f>
        <v>10578.77</v>
      </c>
      <c r="S5" s="63">
        <f aca="true" t="shared" si="10" ref="S5:S30">R5/(1+$D$60)^G5</f>
        <v>10578.77</v>
      </c>
      <c r="U5">
        <f aca="true" t="shared" si="11" ref="U5:U29">IF(L5="",U4,U4+1)</f>
        <v>0</v>
      </c>
      <c r="V5">
        <f aca="true" t="shared" si="12" ref="V5:V29">IF(L5="",V4,G4+1)</f>
        <v>0</v>
      </c>
      <c r="W5" s="2">
        <f aca="true" t="shared" si="13" ref="W5:W29">IF(U5&gt;0,$D$7*($C$22*$D$22+$C$23*$D$23+$C$24*$D$24+$C$25*$D$25)*$D$21/1000/((1+$D$63)^V5),$D$7*($C$22*$D$22+$C$23*$D$23+$C$24*$D$24+$C$25*$D$25)*$D$21/1000)</f>
        <v>1081</v>
      </c>
    </row>
    <row r="6" spans="2:23" ht="12.75">
      <c r="B6" s="27"/>
      <c r="C6" s="4"/>
      <c r="D6" s="19"/>
      <c r="F6" s="32">
        <f t="shared" si="0"/>
        <v>2015</v>
      </c>
      <c r="G6" s="33">
        <f aca="true" t="shared" si="14" ref="G6:G30">G5+1</f>
        <v>1</v>
      </c>
      <c r="H6" s="42">
        <f t="shared" si="1"/>
      </c>
      <c r="I6" s="43">
        <f aca="true" t="shared" si="15" ref="I6:I29">IF(H6&lt;&gt;0,IF(H7="",IF(H6="",IF(MOD(($D$13-G6),$D$13)=0,$D$7*$D$12*(1+$D$56)^G6,""),""),""),"")</f>
      </c>
      <c r="J6" s="73">
        <f aca="true" t="shared" si="16" ref="J6:J29">IF($D$15&lt;&gt;0,IF(G6&lt;&gt;0,IF(H7="",IF(H6="",IF(MOD(($D$16-G6),$D$16)=0,$D$7*$D$15*(1+$D$56)^G6,""),""),""),""),"")</f>
      </c>
      <c r="K6" s="69">
        <f t="shared" si="2"/>
      </c>
      <c r="L6" s="48">
        <f t="shared" si="3"/>
      </c>
      <c r="M6" s="48">
        <f t="shared" si="4"/>
      </c>
      <c r="N6" s="48">
        <f t="shared" si="5"/>
      </c>
      <c r="O6" s="53">
        <f t="shared" si="6"/>
      </c>
      <c r="P6" s="56">
        <f t="shared" si="7"/>
      </c>
      <c r="Q6" s="59">
        <f t="shared" si="8"/>
        <v>186.52655000000001</v>
      </c>
      <c r="R6" s="62">
        <f t="shared" si="9"/>
        <v>186.52655000000001</v>
      </c>
      <c r="S6" s="63">
        <f t="shared" si="10"/>
        <v>182.86916666666667</v>
      </c>
      <c r="U6">
        <f t="shared" si="11"/>
        <v>0</v>
      </c>
      <c r="V6">
        <f t="shared" si="12"/>
        <v>0</v>
      </c>
      <c r="W6" s="2">
        <f t="shared" si="13"/>
        <v>1081</v>
      </c>
    </row>
    <row r="7" spans="2:23" ht="12.75">
      <c r="B7" s="28" t="s">
        <v>23</v>
      </c>
      <c r="C7" s="4"/>
      <c r="D7" s="19">
        <v>10</v>
      </c>
      <c r="F7" s="32">
        <f t="shared" si="0"/>
        <v>2016</v>
      </c>
      <c r="G7" s="33">
        <f t="shared" si="14"/>
        <v>2</v>
      </c>
      <c r="H7" s="42">
        <f t="shared" si="1"/>
      </c>
      <c r="I7" s="43">
        <f t="shared" si="15"/>
      </c>
      <c r="J7" s="73">
        <f t="shared" si="16"/>
      </c>
      <c r="K7" s="69">
        <f t="shared" si="2"/>
      </c>
      <c r="L7" s="48">
        <f t="shared" si="3"/>
      </c>
      <c r="M7" s="48">
        <f t="shared" si="4"/>
      </c>
      <c r="N7" s="48">
        <f t="shared" si="5"/>
      </c>
      <c r="O7" s="53">
        <f t="shared" si="6"/>
      </c>
      <c r="P7" s="56">
        <f t="shared" si="7"/>
      </c>
      <c r="Q7" s="59">
        <f t="shared" si="8"/>
        <v>189.32444824999996</v>
      </c>
      <c r="R7" s="62">
        <f t="shared" si="9"/>
        <v>189.32444824999996</v>
      </c>
      <c r="S7" s="63">
        <f t="shared" si="10"/>
        <v>181.9727491830065</v>
      </c>
      <c r="U7">
        <f t="shared" si="11"/>
        <v>0</v>
      </c>
      <c r="V7">
        <f t="shared" si="12"/>
        <v>0</v>
      </c>
      <c r="W7" s="2">
        <f t="shared" si="13"/>
        <v>1081</v>
      </c>
    </row>
    <row r="8" spans="2:23" ht="12.75">
      <c r="B8" s="18"/>
      <c r="C8" s="4"/>
      <c r="D8" s="19"/>
      <c r="F8" s="32">
        <f t="shared" si="0"/>
        <v>2017</v>
      </c>
      <c r="G8" s="33">
        <f t="shared" si="14"/>
        <v>3</v>
      </c>
      <c r="H8" s="42">
        <f t="shared" si="1"/>
      </c>
      <c r="I8" s="43">
        <f t="shared" si="15"/>
      </c>
      <c r="J8" s="73">
        <f t="shared" si="16"/>
      </c>
      <c r="K8" s="69">
        <f t="shared" si="2"/>
      </c>
      <c r="L8" s="48">
        <f t="shared" si="3"/>
      </c>
      <c r="M8" s="48">
        <f t="shared" si="4"/>
      </c>
      <c r="N8" s="48">
        <f t="shared" si="5"/>
      </c>
      <c r="O8" s="53">
        <f t="shared" si="6"/>
      </c>
      <c r="P8" s="56">
        <f t="shared" si="7"/>
      </c>
      <c r="Q8" s="59">
        <f t="shared" si="8"/>
        <v>192.16431497374995</v>
      </c>
      <c r="R8" s="62">
        <f t="shared" si="9"/>
        <v>192.16431497374995</v>
      </c>
      <c r="S8" s="63">
        <f t="shared" si="10"/>
        <v>181.08072590269765</v>
      </c>
      <c r="U8">
        <f t="shared" si="11"/>
        <v>0</v>
      </c>
      <c r="V8">
        <f t="shared" si="12"/>
        <v>0</v>
      </c>
      <c r="W8" s="2">
        <f t="shared" si="13"/>
        <v>1081</v>
      </c>
    </row>
    <row r="9" spans="2:23" ht="12.75">
      <c r="B9" s="18" t="s">
        <v>53</v>
      </c>
      <c r="C9" s="4"/>
      <c r="D9" s="19">
        <v>960</v>
      </c>
      <c r="F9" s="32">
        <f t="shared" si="0"/>
        <v>2018</v>
      </c>
      <c r="G9" s="33">
        <f t="shared" si="14"/>
        <v>4</v>
      </c>
      <c r="H9" s="42">
        <f t="shared" si="1"/>
      </c>
      <c r="I9" s="43">
        <f t="shared" si="15"/>
      </c>
      <c r="J9" s="73">
        <f t="shared" si="16"/>
      </c>
      <c r="K9" s="69">
        <f t="shared" si="2"/>
      </c>
      <c r="L9" s="48">
        <f t="shared" si="3"/>
      </c>
      <c r="M9" s="48">
        <f t="shared" si="4"/>
      </c>
      <c r="N9" s="48">
        <f t="shared" si="5"/>
        <v>108.243216</v>
      </c>
      <c r="O9" s="53">
        <f t="shared" si="6"/>
        <v>64.9459296</v>
      </c>
      <c r="P9" s="56">
        <f t="shared" si="7"/>
        <v>206.9658923718749</v>
      </c>
      <c r="Q9" s="59">
        <f t="shared" si="8"/>
        <v>195.04677969835618</v>
      </c>
      <c r="R9" s="62">
        <f t="shared" si="9"/>
        <v>575.2018176702311</v>
      </c>
      <c r="S9" s="63">
        <f t="shared" si="10"/>
        <v>531.39756829678</v>
      </c>
      <c r="U9">
        <f t="shared" si="11"/>
        <v>0</v>
      </c>
      <c r="V9">
        <f t="shared" si="12"/>
        <v>0</v>
      </c>
      <c r="W9" s="2">
        <f t="shared" si="13"/>
        <v>1081</v>
      </c>
    </row>
    <row r="10" spans="2:23" ht="12.75">
      <c r="B10" s="18" t="s">
        <v>16</v>
      </c>
      <c r="C10" s="4"/>
      <c r="D10" s="19">
        <v>25</v>
      </c>
      <c r="F10" s="32">
        <f t="shared" si="0"/>
        <v>2019</v>
      </c>
      <c r="G10" s="33">
        <f t="shared" si="14"/>
        <v>5</v>
      </c>
      <c r="H10" s="42">
        <f t="shared" si="1"/>
      </c>
      <c r="I10" s="43">
        <f t="shared" si="15"/>
      </c>
      <c r="J10" s="73">
        <f t="shared" si="16"/>
      </c>
      <c r="K10" s="69">
        <f t="shared" si="2"/>
      </c>
      <c r="L10" s="48">
        <f t="shared" si="3"/>
      </c>
      <c r="M10" s="48">
        <f t="shared" si="4"/>
      </c>
      <c r="N10" s="48">
        <f t="shared" si="5"/>
      </c>
      <c r="O10" s="53">
        <f t="shared" si="6"/>
      </c>
      <c r="P10" s="56">
        <f t="shared" si="7"/>
      </c>
      <c r="Q10" s="59">
        <f t="shared" si="8"/>
        <v>197.9724813938315</v>
      </c>
      <c r="R10" s="62">
        <f t="shared" si="9"/>
        <v>197.9724813938315</v>
      </c>
      <c r="S10" s="63">
        <f t="shared" si="10"/>
        <v>179.30977589687294</v>
      </c>
      <c r="U10">
        <f t="shared" si="11"/>
        <v>0</v>
      </c>
      <c r="V10">
        <f t="shared" si="12"/>
        <v>0</v>
      </c>
      <c r="W10" s="2">
        <f t="shared" si="13"/>
        <v>1081</v>
      </c>
    </row>
    <row r="11" spans="2:23" ht="12.75">
      <c r="B11" s="18"/>
      <c r="C11" s="4"/>
      <c r="D11" s="19"/>
      <c r="F11" s="32">
        <f t="shared" si="0"/>
        <v>2020</v>
      </c>
      <c r="G11" s="33">
        <f t="shared" si="14"/>
        <v>6</v>
      </c>
      <c r="H11" s="42">
        <f t="shared" si="1"/>
      </c>
      <c r="I11" s="43">
        <f t="shared" si="15"/>
      </c>
      <c r="J11" s="73">
        <f t="shared" si="16"/>
      </c>
      <c r="K11" s="69">
        <f t="shared" si="2"/>
      </c>
      <c r="L11" s="48">
        <f t="shared" si="3"/>
      </c>
      <c r="M11" s="48">
        <f t="shared" si="4"/>
      </c>
      <c r="N11" s="48">
        <f t="shared" si="5"/>
      </c>
      <c r="O11" s="53">
        <f t="shared" si="6"/>
      </c>
      <c r="P11" s="56">
        <f t="shared" si="7"/>
      </c>
      <c r="Q11" s="59">
        <f t="shared" si="8"/>
        <v>200.94206861473893</v>
      </c>
      <c r="R11" s="62">
        <f t="shared" si="9"/>
        <v>200.94206861473893</v>
      </c>
      <c r="S11" s="63">
        <f t="shared" si="10"/>
        <v>178.43080640718236</v>
      </c>
      <c r="U11">
        <f t="shared" si="11"/>
        <v>0</v>
      </c>
      <c r="V11">
        <f t="shared" si="12"/>
        <v>0</v>
      </c>
      <c r="W11" s="2">
        <f t="shared" si="13"/>
        <v>1081</v>
      </c>
    </row>
    <row r="12" spans="2:23" ht="12.75">
      <c r="B12" s="18" t="s">
        <v>1</v>
      </c>
      <c r="C12" s="4"/>
      <c r="D12" s="19">
        <v>90</v>
      </c>
      <c r="F12" s="32">
        <f t="shared" si="0"/>
        <v>2021</v>
      </c>
      <c r="G12" s="33">
        <f t="shared" si="14"/>
        <v>7</v>
      </c>
      <c r="H12" s="42">
        <f t="shared" si="1"/>
      </c>
      <c r="I12" s="43">
        <f t="shared" si="15"/>
      </c>
      <c r="J12" s="73">
        <f t="shared" si="16"/>
      </c>
      <c r="K12" s="69">
        <f t="shared" si="2"/>
      </c>
      <c r="L12" s="48">
        <f t="shared" si="3"/>
      </c>
      <c r="M12" s="48">
        <f t="shared" si="4"/>
      </c>
      <c r="N12" s="48">
        <f t="shared" si="5"/>
      </c>
      <c r="O12" s="53">
        <f t="shared" si="6"/>
      </c>
      <c r="P12" s="56">
        <f t="shared" si="7"/>
      </c>
      <c r="Q12" s="59">
        <f t="shared" si="8"/>
        <v>203.95619964396</v>
      </c>
      <c r="R12" s="62">
        <f t="shared" si="9"/>
        <v>203.95619964396</v>
      </c>
      <c r="S12" s="63">
        <f t="shared" si="10"/>
        <v>177.5561455914609</v>
      </c>
      <c r="U12">
        <f t="shared" si="11"/>
        <v>0</v>
      </c>
      <c r="V12">
        <f t="shared" si="12"/>
        <v>0</v>
      </c>
      <c r="W12" s="2">
        <f t="shared" si="13"/>
        <v>1081</v>
      </c>
    </row>
    <row r="13" spans="2:23" ht="12.75">
      <c r="B13" s="18" t="s">
        <v>17</v>
      </c>
      <c r="C13" s="4"/>
      <c r="D13" s="19">
        <v>12</v>
      </c>
      <c r="F13" s="32">
        <f t="shared" si="0"/>
        <v>2022</v>
      </c>
      <c r="G13" s="33">
        <f t="shared" si="14"/>
        <v>8</v>
      </c>
      <c r="H13" s="42">
        <f t="shared" si="1"/>
      </c>
      <c r="I13" s="43">
        <f t="shared" si="15"/>
      </c>
      <c r="J13" s="73">
        <f t="shared" si="16"/>
      </c>
      <c r="K13" s="69">
        <f t="shared" si="2"/>
      </c>
      <c r="L13" s="48">
        <f t="shared" si="3"/>
      </c>
      <c r="M13" s="48">
        <f t="shared" si="4"/>
      </c>
      <c r="N13" s="48">
        <f t="shared" si="5"/>
        <v>117.16593810022655</v>
      </c>
      <c r="O13" s="53">
        <f t="shared" si="6"/>
        <v>70.29956286013594</v>
      </c>
      <c r="P13" s="56">
        <f t="shared" si="7"/>
        <v>219.66605438608462</v>
      </c>
      <c r="Q13" s="59">
        <f t="shared" si="8"/>
        <v>207.01554263861934</v>
      </c>
      <c r="R13" s="62">
        <f t="shared" si="9"/>
        <v>614.1470979850665</v>
      </c>
      <c r="S13" s="63">
        <f t="shared" si="10"/>
        <v>524.1686346246042</v>
      </c>
      <c r="U13">
        <f t="shared" si="11"/>
        <v>0</v>
      </c>
      <c r="V13">
        <f t="shared" si="12"/>
        <v>0</v>
      </c>
      <c r="W13" s="2">
        <f t="shared" si="13"/>
        <v>1081</v>
      </c>
    </row>
    <row r="14" spans="2:23" ht="12.75">
      <c r="B14" s="18"/>
      <c r="C14" s="4"/>
      <c r="D14" s="19"/>
      <c r="F14" s="32">
        <f t="shared" si="0"/>
        <v>2023</v>
      </c>
      <c r="G14" s="33">
        <f t="shared" si="14"/>
        <v>9</v>
      </c>
      <c r="H14" s="42">
        <f t="shared" si="1"/>
      </c>
      <c r="I14" s="43">
        <f t="shared" si="15"/>
      </c>
      <c r="J14" s="73">
        <f t="shared" si="16"/>
      </c>
      <c r="K14" s="69">
        <f t="shared" si="2"/>
      </c>
      <c r="L14" s="48">
        <f t="shared" si="3"/>
      </c>
      <c r="M14" s="48">
        <f t="shared" si="4"/>
      </c>
      <c r="N14" s="48">
        <f t="shared" si="5"/>
      </c>
      <c r="O14" s="53">
        <f t="shared" si="6"/>
      </c>
      <c r="P14" s="56">
        <f t="shared" si="7"/>
      </c>
      <c r="Q14" s="59">
        <f t="shared" si="8"/>
        <v>210.1207757781986</v>
      </c>
      <c r="R14" s="62">
        <f t="shared" si="9"/>
        <v>210.1207757781986</v>
      </c>
      <c r="S14" s="63">
        <f t="shared" si="10"/>
        <v>175.81966560165583</v>
      </c>
      <c r="U14">
        <f t="shared" si="11"/>
        <v>0</v>
      </c>
      <c r="V14">
        <f t="shared" si="12"/>
        <v>0</v>
      </c>
      <c r="W14" s="2">
        <f t="shared" si="13"/>
        <v>1081</v>
      </c>
    </row>
    <row r="15" spans="2:23" ht="12.75">
      <c r="B15" s="18" t="s">
        <v>2</v>
      </c>
      <c r="C15" s="4"/>
      <c r="D15" s="19">
        <v>70</v>
      </c>
      <c r="F15" s="32">
        <f t="shared" si="0"/>
        <v>2024</v>
      </c>
      <c r="G15" s="33">
        <f t="shared" si="14"/>
        <v>10</v>
      </c>
      <c r="H15" s="42">
        <f t="shared" si="1"/>
      </c>
      <c r="I15" s="43">
        <f t="shared" si="15"/>
      </c>
      <c r="J15" s="73">
        <f t="shared" si="16"/>
      </c>
      <c r="K15" s="69">
        <f t="shared" si="2"/>
      </c>
      <c r="L15" s="48">
        <f t="shared" si="3"/>
      </c>
      <c r="M15" s="48">
        <f t="shared" si="4"/>
      </c>
      <c r="N15" s="48">
        <f t="shared" si="5"/>
      </c>
      <c r="O15" s="53">
        <f t="shared" si="6"/>
      </c>
      <c r="P15" s="56">
        <f t="shared" si="7"/>
      </c>
      <c r="Q15" s="59">
        <f t="shared" si="8"/>
        <v>213.2725874148716</v>
      </c>
      <c r="R15" s="62">
        <f t="shared" si="9"/>
        <v>213.2725874148716</v>
      </c>
      <c r="S15" s="63">
        <f t="shared" si="10"/>
        <v>174.95780449576534</v>
      </c>
      <c r="U15">
        <f t="shared" si="11"/>
        <v>0</v>
      </c>
      <c r="V15">
        <f t="shared" si="12"/>
        <v>0</v>
      </c>
      <c r="W15" s="2">
        <f t="shared" si="13"/>
        <v>1081</v>
      </c>
    </row>
    <row r="16" spans="2:23" ht="12.75">
      <c r="B16" s="21" t="s">
        <v>18</v>
      </c>
      <c r="C16" s="22"/>
      <c r="D16" s="29">
        <v>12</v>
      </c>
      <c r="F16" s="32">
        <f t="shared" si="0"/>
        <v>2025</v>
      </c>
      <c r="G16" s="33">
        <f t="shared" si="14"/>
        <v>11</v>
      </c>
      <c r="H16" s="42">
        <f t="shared" si="1"/>
      </c>
      <c r="I16" s="43">
        <f t="shared" si="15"/>
      </c>
      <c r="J16" s="73">
        <f t="shared" si="16"/>
      </c>
      <c r="K16" s="69">
        <f t="shared" si="2"/>
      </c>
      <c r="L16" s="48">
        <f t="shared" si="3"/>
      </c>
      <c r="M16" s="48">
        <f t="shared" si="4"/>
      </c>
      <c r="N16" s="48">
        <f t="shared" si="5"/>
      </c>
      <c r="O16" s="53">
        <f t="shared" si="6"/>
      </c>
      <c r="P16" s="56">
        <f t="shared" si="7"/>
      </c>
      <c r="Q16" s="59">
        <f t="shared" si="8"/>
        <v>216.47167622609462</v>
      </c>
      <c r="R16" s="62">
        <f t="shared" si="9"/>
        <v>216.47167622609462</v>
      </c>
      <c r="S16" s="63">
        <f t="shared" si="10"/>
        <v>174.10016819921748</v>
      </c>
      <c r="U16">
        <f t="shared" si="11"/>
        <v>0</v>
      </c>
      <c r="V16">
        <f t="shared" si="12"/>
        <v>0</v>
      </c>
      <c r="W16" s="2">
        <f t="shared" si="13"/>
        <v>1081</v>
      </c>
    </row>
    <row r="17" spans="6:23" ht="12.75">
      <c r="F17" s="32">
        <f t="shared" si="0"/>
        <v>2026</v>
      </c>
      <c r="G17" s="33">
        <f t="shared" si="14"/>
        <v>12</v>
      </c>
      <c r="H17" s="42">
        <f t="shared" si="1"/>
      </c>
      <c r="I17" s="43">
        <f t="shared" si="15"/>
        <v>1076.0563543153798</v>
      </c>
      <c r="J17" s="73">
        <f t="shared" si="16"/>
        <v>836.9327200230733</v>
      </c>
      <c r="K17" s="69">
        <f t="shared" si="2"/>
      </c>
      <c r="L17" s="48">
        <f t="shared" si="3"/>
        <v>253.64835891250905</v>
      </c>
      <c r="M17" s="48">
        <f t="shared" si="4"/>
        <v>177.55385123875635</v>
      </c>
      <c r="N17" s="48">
        <f t="shared" si="5"/>
        <v>126.82417945625453</v>
      </c>
      <c r="O17" s="53">
        <f t="shared" si="6"/>
        <v>76.09450767375272</v>
      </c>
      <c r="P17" s="56">
        <f t="shared" si="7"/>
        <v>233.14554343499898</v>
      </c>
      <c r="Q17" s="59">
        <f t="shared" si="8"/>
        <v>219.718751369486</v>
      </c>
      <c r="R17" s="62">
        <f t="shared" si="9"/>
        <v>2999.9742664242112</v>
      </c>
      <c r="S17" s="63">
        <f t="shared" si="10"/>
        <v>2365.4592359960766</v>
      </c>
      <c r="U17">
        <f t="shared" si="11"/>
        <v>1</v>
      </c>
      <c r="V17">
        <f t="shared" si="12"/>
        <v>12</v>
      </c>
      <c r="W17" s="2">
        <f t="shared" si="13"/>
        <v>1081</v>
      </c>
    </row>
    <row r="18" spans="6:23" ht="12.75">
      <c r="F18" s="32">
        <f t="shared" si="0"/>
        <v>2027</v>
      </c>
      <c r="G18" s="33">
        <f t="shared" si="14"/>
        <v>13</v>
      </c>
      <c r="H18" s="42">
        <f t="shared" si="1"/>
      </c>
      <c r="I18" s="43">
        <f t="shared" si="15"/>
      </c>
      <c r="J18" s="73">
        <f t="shared" si="16"/>
      </c>
      <c r="K18" s="69">
        <f t="shared" si="2"/>
      </c>
      <c r="L18" s="48">
        <f t="shared" si="3"/>
      </c>
      <c r="M18" s="48">
        <f t="shared" si="4"/>
      </c>
      <c r="N18" s="48">
        <f t="shared" si="5"/>
      </c>
      <c r="O18" s="53">
        <f t="shared" si="6"/>
      </c>
      <c r="P18" s="56">
        <f t="shared" si="7"/>
      </c>
      <c r="Q18" s="59">
        <f t="shared" si="8"/>
        <v>223.01453264002828</v>
      </c>
      <c r="R18" s="62">
        <f t="shared" si="9"/>
        <v>223.01453264002828</v>
      </c>
      <c r="S18" s="63">
        <f t="shared" si="10"/>
        <v>172.39748729626947</v>
      </c>
      <c r="U18">
        <f t="shared" si="11"/>
        <v>1</v>
      </c>
      <c r="V18">
        <f t="shared" si="12"/>
        <v>12</v>
      </c>
      <c r="W18" s="2">
        <f t="shared" si="13"/>
        <v>1081</v>
      </c>
    </row>
    <row r="19" spans="2:23" ht="12.75">
      <c r="B19" s="5" t="s">
        <v>39</v>
      </c>
      <c r="C19" s="6"/>
      <c r="D19" s="7"/>
      <c r="F19" s="32">
        <f t="shared" si="0"/>
        <v>2028</v>
      </c>
      <c r="G19" s="33">
        <f t="shared" si="14"/>
        <v>14</v>
      </c>
      <c r="H19" s="42">
        <f t="shared" si="1"/>
      </c>
      <c r="I19" s="43">
        <f t="shared" si="15"/>
      </c>
      <c r="J19" s="73">
        <f t="shared" si="16"/>
      </c>
      <c r="K19" s="69">
        <f t="shared" si="2"/>
      </c>
      <c r="L19" s="48">
        <f t="shared" si="3"/>
      </c>
      <c r="M19" s="48">
        <f t="shared" si="4"/>
      </c>
      <c r="N19" s="48">
        <f t="shared" si="5"/>
      </c>
      <c r="O19" s="53">
        <f t="shared" si="6"/>
      </c>
      <c r="P19" s="56">
        <f t="shared" si="7"/>
      </c>
      <c r="Q19" s="59">
        <f t="shared" si="8"/>
        <v>226.35975062962862</v>
      </c>
      <c r="R19" s="62">
        <f t="shared" si="9"/>
        <v>226.35975062962862</v>
      </c>
      <c r="S19" s="63">
        <f t="shared" si="10"/>
        <v>171.55240157422887</v>
      </c>
      <c r="U19">
        <f t="shared" si="11"/>
        <v>1</v>
      </c>
      <c r="V19">
        <f t="shared" si="12"/>
        <v>12</v>
      </c>
      <c r="W19" s="2">
        <f t="shared" si="13"/>
        <v>1081</v>
      </c>
    </row>
    <row r="20" spans="2:23" ht="12.75">
      <c r="B20" s="8"/>
      <c r="C20" s="9"/>
      <c r="D20" s="10"/>
      <c r="F20" s="32">
        <f t="shared" si="0"/>
        <v>2029</v>
      </c>
      <c r="G20" s="33">
        <f t="shared" si="14"/>
        <v>15</v>
      </c>
      <c r="H20" s="42">
        <f t="shared" si="1"/>
      </c>
      <c r="I20" s="43">
        <f t="shared" si="15"/>
      </c>
      <c r="J20" s="73">
        <f t="shared" si="16"/>
      </c>
      <c r="K20" s="69">
        <f t="shared" si="2"/>
      </c>
      <c r="L20" s="48">
        <f t="shared" si="3"/>
      </c>
      <c r="M20" s="48">
        <f t="shared" si="4"/>
      </c>
      <c r="N20" s="48">
        <f t="shared" si="5"/>
      </c>
      <c r="O20" s="53">
        <f t="shared" si="6"/>
      </c>
      <c r="P20" s="56">
        <f t="shared" si="7"/>
      </c>
      <c r="Q20" s="59">
        <f t="shared" si="8"/>
        <v>229.75514688907305</v>
      </c>
      <c r="R20" s="62">
        <f t="shared" si="9"/>
        <v>229.75514688907305</v>
      </c>
      <c r="S20" s="63">
        <f t="shared" si="10"/>
        <v>170.7114584292572</v>
      </c>
      <c r="U20">
        <f t="shared" si="11"/>
        <v>1</v>
      </c>
      <c r="V20">
        <f t="shared" si="12"/>
        <v>12</v>
      </c>
      <c r="W20" s="2">
        <f t="shared" si="13"/>
        <v>1081</v>
      </c>
    </row>
    <row r="21" spans="2:23" ht="12.75">
      <c r="B21" s="8" t="s">
        <v>4</v>
      </c>
      <c r="C21" s="9"/>
      <c r="D21" s="10">
        <v>47</v>
      </c>
      <c r="F21" s="32">
        <f t="shared" si="0"/>
        <v>2030</v>
      </c>
      <c r="G21" s="33">
        <f t="shared" si="14"/>
        <v>16</v>
      </c>
      <c r="H21" s="42">
        <f t="shared" si="1"/>
      </c>
      <c r="I21" s="43">
        <f t="shared" si="15"/>
      </c>
      <c r="J21" s="73">
        <f t="shared" si="16"/>
      </c>
      <c r="K21" s="69">
        <f t="shared" si="2"/>
      </c>
      <c r="L21" s="48">
        <f t="shared" si="3"/>
      </c>
      <c r="M21" s="48">
        <f t="shared" si="4"/>
      </c>
      <c r="N21" s="48">
        <f t="shared" si="5"/>
        <v>137.2785705090612</v>
      </c>
      <c r="O21" s="53">
        <f t="shared" si="6"/>
        <v>82.36714230543672</v>
      </c>
      <c r="P21" s="56">
        <f t="shared" si="7"/>
        <v>247.45218179256554</v>
      </c>
      <c r="Q21" s="59">
        <f t="shared" si="8"/>
        <v>233.2014740924091</v>
      </c>
      <c r="R21" s="62">
        <f t="shared" si="9"/>
        <v>700.2993686994726</v>
      </c>
      <c r="S21" s="63">
        <f t="shared" si="10"/>
        <v>510.130143475852</v>
      </c>
      <c r="U21">
        <f t="shared" si="11"/>
        <v>1</v>
      </c>
      <c r="V21">
        <f t="shared" si="12"/>
        <v>12</v>
      </c>
      <c r="W21" s="2">
        <f t="shared" si="13"/>
        <v>1081</v>
      </c>
    </row>
    <row r="22" spans="2:23" ht="12.75">
      <c r="B22" s="8" t="s">
        <v>40</v>
      </c>
      <c r="C22" s="11">
        <v>1</v>
      </c>
      <c r="D22" s="10">
        <v>1400</v>
      </c>
      <c r="F22" s="32">
        <f t="shared" si="0"/>
        <v>2031</v>
      </c>
      <c r="G22" s="33">
        <f t="shared" si="14"/>
        <v>17</v>
      </c>
      <c r="H22" s="42">
        <f t="shared" si="1"/>
      </c>
      <c r="I22" s="43">
        <f t="shared" si="15"/>
      </c>
      <c r="J22" s="73">
        <f t="shared" si="16"/>
      </c>
      <c r="K22" s="69">
        <f t="shared" si="2"/>
      </c>
      <c r="L22" s="48">
        <f t="shared" si="3"/>
      </c>
      <c r="M22" s="48">
        <f t="shared" si="4"/>
      </c>
      <c r="N22" s="48">
        <f t="shared" si="5"/>
      </c>
      <c r="O22" s="53">
        <f t="shared" si="6"/>
      </c>
      <c r="P22" s="56">
        <f t="shared" si="7"/>
      </c>
      <c r="Q22" s="59">
        <f t="shared" si="8"/>
        <v>236.69949620379518</v>
      </c>
      <c r="R22" s="62">
        <f t="shared" si="9"/>
        <v>236.69949620379518</v>
      </c>
      <c r="S22" s="63">
        <f t="shared" si="10"/>
        <v>169.04191874306167</v>
      </c>
      <c r="U22">
        <f t="shared" si="11"/>
        <v>1</v>
      </c>
      <c r="V22">
        <f t="shared" si="12"/>
        <v>12</v>
      </c>
      <c r="W22" s="2">
        <f t="shared" si="13"/>
        <v>1081</v>
      </c>
    </row>
    <row r="23" spans="2:23" ht="12.75">
      <c r="B23" s="8" t="s">
        <v>41</v>
      </c>
      <c r="C23" s="11">
        <v>0.75</v>
      </c>
      <c r="D23" s="10"/>
      <c r="F23" s="32">
        <f t="shared" si="0"/>
        <v>2032</v>
      </c>
      <c r="G23" s="33">
        <f t="shared" si="14"/>
        <v>18</v>
      </c>
      <c r="H23" s="42">
        <f t="shared" si="1"/>
      </c>
      <c r="I23" s="43">
        <f t="shared" si="15"/>
      </c>
      <c r="J23" s="73">
        <f t="shared" si="16"/>
      </c>
      <c r="K23" s="69">
        <f t="shared" si="2"/>
      </c>
      <c r="L23" s="48">
        <f t="shared" si="3"/>
      </c>
      <c r="M23" s="48">
        <f t="shared" si="4"/>
      </c>
      <c r="N23" s="48">
        <f t="shared" si="5"/>
      </c>
      <c r="O23" s="53">
        <f t="shared" si="6"/>
      </c>
      <c r="P23" s="56">
        <f t="shared" si="7"/>
      </c>
      <c r="Q23" s="59">
        <f t="shared" si="8"/>
        <v>240.2499886468521</v>
      </c>
      <c r="R23" s="62">
        <f t="shared" si="9"/>
        <v>240.2499886468521</v>
      </c>
      <c r="S23" s="63">
        <f t="shared" si="10"/>
        <v>168.21328188647806</v>
      </c>
      <c r="U23">
        <f t="shared" si="11"/>
        <v>1</v>
      </c>
      <c r="V23">
        <f t="shared" si="12"/>
        <v>12</v>
      </c>
      <c r="W23" s="2">
        <f t="shared" si="13"/>
        <v>1081</v>
      </c>
    </row>
    <row r="24" spans="2:23" ht="12.75">
      <c r="B24" s="8" t="s">
        <v>42</v>
      </c>
      <c r="C24" s="11">
        <v>0.5</v>
      </c>
      <c r="D24" s="10">
        <v>1000</v>
      </c>
      <c r="F24" s="32">
        <f t="shared" si="0"/>
        <v>2033</v>
      </c>
      <c r="G24" s="33">
        <f t="shared" si="14"/>
        <v>19</v>
      </c>
      <c r="H24" s="42">
        <f t="shared" si="1"/>
      </c>
      <c r="I24" s="43">
        <f t="shared" si="15"/>
      </c>
      <c r="J24" s="73">
        <f t="shared" si="16"/>
      </c>
      <c r="K24" s="69">
        <f t="shared" si="2"/>
      </c>
      <c r="L24" s="48">
        <f t="shared" si="3"/>
      </c>
      <c r="M24" s="48">
        <f t="shared" si="4"/>
      </c>
      <c r="N24" s="48">
        <f t="shared" si="5"/>
      </c>
      <c r="O24" s="53">
        <f t="shared" si="6"/>
      </c>
      <c r="P24" s="56">
        <f t="shared" si="7"/>
      </c>
      <c r="Q24" s="59">
        <f t="shared" si="8"/>
        <v>243.8537384765549</v>
      </c>
      <c r="R24" s="62">
        <f t="shared" si="9"/>
        <v>243.8537384765549</v>
      </c>
      <c r="S24" s="63">
        <f t="shared" si="10"/>
        <v>167.38870697526986</v>
      </c>
      <c r="U24">
        <f t="shared" si="11"/>
        <v>1</v>
      </c>
      <c r="V24">
        <f t="shared" si="12"/>
        <v>12</v>
      </c>
      <c r="W24" s="2">
        <f t="shared" si="13"/>
        <v>1081</v>
      </c>
    </row>
    <row r="25" spans="2:23" ht="12.75">
      <c r="B25" s="8" t="s">
        <v>43</v>
      </c>
      <c r="C25" s="11">
        <v>0.25</v>
      </c>
      <c r="D25" s="10">
        <v>1600</v>
      </c>
      <c r="F25" s="32">
        <f t="shared" si="0"/>
        <v>2034</v>
      </c>
      <c r="G25" s="33">
        <f t="shared" si="14"/>
        <v>20</v>
      </c>
      <c r="H25" s="42">
        <f t="shared" si="1"/>
      </c>
      <c r="I25" s="43">
        <f t="shared" si="15"/>
      </c>
      <c r="J25" s="73">
        <f t="shared" si="16"/>
      </c>
      <c r="K25" s="69">
        <f t="shared" si="2"/>
      </c>
      <c r="L25" s="48">
        <f t="shared" si="3"/>
      </c>
      <c r="M25" s="48">
        <f t="shared" si="4"/>
      </c>
      <c r="N25" s="48">
        <f t="shared" si="5"/>
        <v>148.59473959783543</v>
      </c>
      <c r="O25" s="53">
        <f t="shared" si="6"/>
        <v>89.15684375870126</v>
      </c>
      <c r="P25" s="56">
        <f t="shared" si="7"/>
        <v>262.63672627726015</v>
      </c>
      <c r="Q25" s="59">
        <f t="shared" si="8"/>
        <v>247.51154455370315</v>
      </c>
      <c r="R25" s="62">
        <f t="shared" si="9"/>
        <v>747.8998541875</v>
      </c>
      <c r="S25" s="63">
        <f t="shared" si="10"/>
        <v>503.31516190388385</v>
      </c>
      <c r="U25">
        <f t="shared" si="11"/>
        <v>1</v>
      </c>
      <c r="V25">
        <f t="shared" si="12"/>
        <v>12</v>
      </c>
      <c r="W25" s="2">
        <f t="shared" si="13"/>
        <v>1081</v>
      </c>
    </row>
    <row r="26" spans="2:23" ht="12.75">
      <c r="B26" s="8"/>
      <c r="C26" s="9"/>
      <c r="D26" s="10"/>
      <c r="F26" s="32">
        <f t="shared" si="0"/>
        <v>2035</v>
      </c>
      <c r="G26" s="33">
        <f t="shared" si="14"/>
        <v>21</v>
      </c>
      <c r="H26" s="42">
        <f t="shared" si="1"/>
      </c>
      <c r="I26" s="43">
        <f t="shared" si="15"/>
      </c>
      <c r="J26" s="73">
        <f t="shared" si="16"/>
      </c>
      <c r="K26" s="69">
        <f t="shared" si="2"/>
      </c>
      <c r="L26" s="48">
        <f t="shared" si="3"/>
      </c>
      <c r="M26" s="48">
        <f t="shared" si="4"/>
      </c>
      <c r="N26" s="48">
        <f t="shared" si="5"/>
      </c>
      <c r="O26" s="53">
        <f t="shared" si="6"/>
      </c>
      <c r="P26" s="56">
        <f t="shared" si="7"/>
      </c>
      <c r="Q26" s="59">
        <f t="shared" si="8"/>
        <v>251.22421772200866</v>
      </c>
      <c r="R26" s="62">
        <f t="shared" si="9"/>
        <v>251.22421772200866</v>
      </c>
      <c r="S26" s="63">
        <f t="shared" si="10"/>
        <v>165.75166344059718</v>
      </c>
      <c r="U26">
        <f t="shared" si="11"/>
        <v>1</v>
      </c>
      <c r="V26">
        <f t="shared" si="12"/>
        <v>12</v>
      </c>
      <c r="W26" s="2">
        <f t="shared" si="13"/>
        <v>1081</v>
      </c>
    </row>
    <row r="27" spans="2:23" ht="12.75">
      <c r="B27" s="12" t="s">
        <v>5</v>
      </c>
      <c r="C27" s="13"/>
      <c r="D27" s="14">
        <v>0.17</v>
      </c>
      <c r="F27" s="32">
        <f t="shared" si="0"/>
        <v>2036</v>
      </c>
      <c r="G27" s="33">
        <f t="shared" si="14"/>
        <v>22</v>
      </c>
      <c r="H27" s="42">
        <f t="shared" si="1"/>
      </c>
      <c r="I27" s="43">
        <f t="shared" si="15"/>
      </c>
      <c r="J27" s="73">
        <f t="shared" si="16"/>
      </c>
      <c r="K27" s="69">
        <f t="shared" si="2"/>
      </c>
      <c r="L27" s="48">
        <f t="shared" si="3"/>
      </c>
      <c r="M27" s="48">
        <f t="shared" si="4"/>
      </c>
      <c r="N27" s="48">
        <f t="shared" si="5"/>
      </c>
      <c r="O27" s="53">
        <f t="shared" si="6"/>
      </c>
      <c r="P27" s="56">
        <f t="shared" si="7"/>
      </c>
      <c r="Q27" s="59">
        <f t="shared" si="8"/>
        <v>254.99258098783872</v>
      </c>
      <c r="R27" s="62">
        <f t="shared" si="9"/>
        <v>254.99258098783872</v>
      </c>
      <c r="S27" s="63">
        <f t="shared" si="10"/>
        <v>164.93915528647656</v>
      </c>
      <c r="U27">
        <f t="shared" si="11"/>
        <v>1</v>
      </c>
      <c r="V27">
        <f t="shared" si="12"/>
        <v>12</v>
      </c>
      <c r="W27" s="2">
        <f t="shared" si="13"/>
        <v>1081</v>
      </c>
    </row>
    <row r="28" spans="6:23" ht="12.75">
      <c r="F28" s="32">
        <f t="shared" si="0"/>
        <v>2037</v>
      </c>
      <c r="G28" s="33">
        <f t="shared" si="14"/>
        <v>23</v>
      </c>
      <c r="H28" s="42">
        <f t="shared" si="1"/>
      </c>
      <c r="I28" s="43">
        <f t="shared" si="15"/>
      </c>
      <c r="J28" s="73">
        <f t="shared" si="16"/>
      </c>
      <c r="K28" s="69">
        <f t="shared" si="2"/>
      </c>
      <c r="L28" s="48">
        <f t="shared" si="3"/>
      </c>
      <c r="M28" s="48">
        <f t="shared" si="4"/>
      </c>
      <c r="N28" s="48">
        <f t="shared" si="5"/>
      </c>
      <c r="O28" s="53">
        <f t="shared" si="6"/>
      </c>
      <c r="P28" s="56">
        <f t="shared" si="7"/>
      </c>
      <c r="Q28" s="59">
        <f t="shared" si="8"/>
        <v>258.8174697026563</v>
      </c>
      <c r="R28" s="62">
        <f t="shared" si="9"/>
        <v>258.8174697026563</v>
      </c>
      <c r="S28" s="63">
        <f t="shared" si="10"/>
        <v>164.13063001546445</v>
      </c>
      <c r="U28">
        <f t="shared" si="11"/>
        <v>1</v>
      </c>
      <c r="V28">
        <f t="shared" si="12"/>
        <v>12</v>
      </c>
      <c r="W28" s="2">
        <f t="shared" si="13"/>
        <v>1081</v>
      </c>
    </row>
    <row r="29" spans="6:23" ht="13.5" thickBot="1">
      <c r="F29" s="34">
        <f t="shared" si="0"/>
        <v>2038</v>
      </c>
      <c r="G29" s="35">
        <f t="shared" si="14"/>
        <v>24</v>
      </c>
      <c r="H29" s="44">
        <f t="shared" si="1"/>
      </c>
      <c r="I29" s="45">
        <f t="shared" si="15"/>
      </c>
      <c r="J29" s="74">
        <f t="shared" si="16"/>
      </c>
      <c r="K29" s="70">
        <f t="shared" si="2"/>
      </c>
      <c r="L29" s="49">
        <f t="shared" si="3"/>
      </c>
      <c r="M29" s="49">
        <f t="shared" si="4"/>
      </c>
      <c r="N29" s="49">
        <f t="shared" si="5"/>
      </c>
      <c r="O29" s="54">
        <f t="shared" si="6"/>
      </c>
      <c r="P29" s="57">
        <f t="shared" si="7"/>
      </c>
      <c r="Q29" s="60">
        <f t="shared" si="8"/>
        <v>262.69973174819614</v>
      </c>
      <c r="R29" s="64">
        <f t="shared" si="9"/>
        <v>262.69973174819614</v>
      </c>
      <c r="S29" s="65">
        <f t="shared" si="10"/>
        <v>163.32606810362392</v>
      </c>
      <c r="U29">
        <f t="shared" si="11"/>
        <v>1</v>
      </c>
      <c r="V29">
        <f t="shared" si="12"/>
        <v>12</v>
      </c>
      <c r="W29" s="2">
        <f t="shared" si="13"/>
        <v>1081</v>
      </c>
    </row>
    <row r="30" spans="2:19" ht="12.75">
      <c r="B30" s="15" t="s">
        <v>6</v>
      </c>
      <c r="C30" s="16"/>
      <c r="D30" s="17"/>
      <c r="F30" s="36">
        <f t="shared" si="0"/>
        <v>2039</v>
      </c>
      <c r="G30" s="36">
        <f t="shared" si="14"/>
        <v>25</v>
      </c>
      <c r="H30" s="36">
        <f>IF(MOD(($D$10-G30),$D$10)=0,$D$7*$D$9*(1+$D$56)^G30,"")</f>
        <v>13929.075399436373</v>
      </c>
      <c r="I30" s="36">
        <f>IF(H31="",IF(H30="",IF(MOD(($D$13-G30),$D$13)=0,$D$7*$D$12*(1+$D$56)^G30,""),""),"")</f>
      </c>
      <c r="J30" s="36">
        <f>IF(H31="",IF(H30="",IF(MOD(($D$16-G30),$D$16)=0,$D$7*$D$15*(1+$D$56)^G30,""),""),"")</f>
      </c>
      <c r="K30" s="36">
        <f t="shared" si="2"/>
        <v>984.3635966788378</v>
      </c>
      <c r="L30" s="36">
        <f t="shared" si="3"/>
      </c>
      <c r="M30" s="36">
        <f t="shared" si="4"/>
      </c>
      <c r="N30" s="36">
        <f t="shared" si="5"/>
      </c>
      <c r="O30" s="36">
        <f t="shared" si="6"/>
      </c>
      <c r="P30" s="36">
        <f t="shared" si="7"/>
        <v>282.9343440510513</v>
      </c>
      <c r="Q30" s="36">
        <f>$D$7*($C$22*$D$22+$C$23*$D$23+$C$24*$D$24+$C$25*$D$25)*$D$27*(1+$D$57)^G30*$D$21/1000</f>
        <v>266.64022772441905</v>
      </c>
      <c r="R30" s="36">
        <f t="shared" si="9"/>
        <v>15463.01356789068</v>
      </c>
      <c r="S30" s="36">
        <f t="shared" si="10"/>
        <v>9425.184121027001</v>
      </c>
    </row>
    <row r="31" spans="2:19" ht="12.75">
      <c r="B31" s="18"/>
      <c r="C31" s="4"/>
      <c r="D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23" ht="12.75">
      <c r="B32" s="18" t="s">
        <v>7</v>
      </c>
      <c r="C32" s="4"/>
      <c r="D32" s="20">
        <v>30</v>
      </c>
      <c r="H32" s="2"/>
      <c r="I32" s="2"/>
      <c r="J32" s="2"/>
      <c r="K32" s="2"/>
      <c r="L32" s="2"/>
      <c r="M32" s="2"/>
      <c r="N32" s="2"/>
      <c r="O32" s="2"/>
      <c r="P32" s="90" t="s">
        <v>52</v>
      </c>
      <c r="Q32" s="90"/>
      <c r="R32" s="2">
        <f>SUM(R4:R16)</f>
        <v>13578.870017950743</v>
      </c>
      <c r="S32" s="66">
        <f>SUM(S4:S16)</f>
        <v>13240.433210865911</v>
      </c>
      <c r="W32" s="2">
        <f>SUM(W5:W16)</f>
        <v>12972</v>
      </c>
    </row>
    <row r="33" spans="2:23" ht="12.75">
      <c r="B33" s="18" t="s">
        <v>11</v>
      </c>
      <c r="C33" s="4"/>
      <c r="D33" s="20">
        <v>10</v>
      </c>
      <c r="H33" s="2"/>
      <c r="I33" s="2"/>
      <c r="J33" s="2"/>
      <c r="K33" s="2"/>
      <c r="L33" s="2"/>
      <c r="M33" s="2"/>
      <c r="N33" s="2"/>
      <c r="O33" s="2"/>
      <c r="P33" s="90" t="s">
        <v>47</v>
      </c>
      <c r="Q33" s="90"/>
      <c r="R33" s="2">
        <f>SUM(R5:R29)</f>
        <v>20454.710160908555</v>
      </c>
      <c r="S33" s="66">
        <f>SUM(S5:S29)</f>
        <v>18296.790523992455</v>
      </c>
      <c r="W33" s="2">
        <f>SUM(W5:W29)</f>
        <v>27025</v>
      </c>
    </row>
    <row r="34" spans="2:17" ht="12.75">
      <c r="B34" s="18" t="s">
        <v>55</v>
      </c>
      <c r="C34" s="4"/>
      <c r="D34" s="20">
        <v>30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9" ht="12.75">
      <c r="B35" s="18" t="s">
        <v>12</v>
      </c>
      <c r="C35" s="4"/>
      <c r="D35" s="20">
        <v>10</v>
      </c>
      <c r="H35" s="2"/>
      <c r="I35" s="2"/>
      <c r="J35" s="2"/>
      <c r="K35" s="2"/>
      <c r="L35" s="2"/>
      <c r="M35" s="2"/>
      <c r="N35" s="2"/>
      <c r="O35" s="2"/>
      <c r="P35" s="2"/>
      <c r="Q35" s="3"/>
      <c r="S35" s="2"/>
    </row>
    <row r="36" spans="2:17" ht="12.75">
      <c r="B36" s="18" t="s">
        <v>13</v>
      </c>
      <c r="C36" s="4"/>
      <c r="D36" s="20">
        <v>7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2.75">
      <c r="B37" s="18" t="s">
        <v>14</v>
      </c>
      <c r="C37" s="4"/>
      <c r="D37" s="20">
        <v>5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4" ht="12.75">
      <c r="B38" s="21" t="s">
        <v>15</v>
      </c>
      <c r="C38" s="22"/>
      <c r="D38" s="23">
        <v>3</v>
      </c>
    </row>
    <row r="41" spans="2:4" ht="12.75">
      <c r="B41" s="15" t="s">
        <v>8</v>
      </c>
      <c r="C41" s="16"/>
      <c r="D41" s="17"/>
    </row>
    <row r="42" spans="2:4" ht="12.75">
      <c r="B42" s="18"/>
      <c r="C42" s="4"/>
      <c r="D42" s="19"/>
    </row>
    <row r="43" spans="2:4" ht="12.75">
      <c r="B43" s="18" t="s">
        <v>9</v>
      </c>
      <c r="C43" s="4"/>
      <c r="D43" s="20">
        <v>4</v>
      </c>
    </row>
    <row r="44" spans="2:4" ht="12.75">
      <c r="B44" s="21" t="s">
        <v>10</v>
      </c>
      <c r="C44" s="22"/>
      <c r="D44" s="23">
        <v>4</v>
      </c>
    </row>
    <row r="45" ht="12.75">
      <c r="D45" s="1"/>
    </row>
    <row r="46" ht="12.75">
      <c r="D46" s="1"/>
    </row>
    <row r="47" spans="2:4" ht="12.75">
      <c r="B47" s="15" t="s">
        <v>44</v>
      </c>
      <c r="C47" s="16"/>
      <c r="D47" s="24"/>
    </row>
    <row r="48" spans="2:4" ht="12.75">
      <c r="B48" s="18"/>
      <c r="C48" s="4"/>
      <c r="D48" s="20"/>
    </row>
    <row r="49" spans="2:4" ht="12.75">
      <c r="B49" s="18" t="s">
        <v>19</v>
      </c>
      <c r="C49" s="4"/>
      <c r="D49" s="20">
        <v>90</v>
      </c>
    </row>
    <row r="50" spans="2:4" ht="12.75">
      <c r="B50" s="21" t="s">
        <v>20</v>
      </c>
      <c r="C50" s="22"/>
      <c r="D50" s="23">
        <v>120</v>
      </c>
    </row>
    <row r="53" spans="2:4" ht="12.75">
      <c r="B53" s="15" t="s">
        <v>21</v>
      </c>
      <c r="C53" s="16"/>
      <c r="D53" s="17"/>
    </row>
    <row r="54" spans="2:4" ht="12.75">
      <c r="B54" s="18"/>
      <c r="C54" s="4"/>
      <c r="D54" s="19"/>
    </row>
    <row r="55" spans="2:4" ht="12.75">
      <c r="B55" s="18" t="s">
        <v>22</v>
      </c>
      <c r="C55" s="4"/>
      <c r="D55" s="25">
        <v>0.02</v>
      </c>
    </row>
    <row r="56" spans="2:4" ht="12.75">
      <c r="B56" s="18" t="s">
        <v>34</v>
      </c>
      <c r="C56" s="4"/>
      <c r="D56" s="25">
        <v>0.015</v>
      </c>
    </row>
    <row r="57" spans="2:4" ht="12.75">
      <c r="B57" s="18" t="s">
        <v>35</v>
      </c>
      <c r="C57" s="4"/>
      <c r="D57" s="25">
        <v>0.015</v>
      </c>
    </row>
    <row r="58" spans="2:4" ht="12.75">
      <c r="B58" s="18" t="s">
        <v>38</v>
      </c>
      <c r="C58" s="4"/>
      <c r="D58" s="25">
        <v>0.015</v>
      </c>
    </row>
    <row r="59" spans="2:4" ht="12.75">
      <c r="B59" s="18"/>
      <c r="C59" s="4"/>
      <c r="D59" s="19"/>
    </row>
    <row r="60" spans="2:4" ht="12.75">
      <c r="B60" s="21" t="s">
        <v>50</v>
      </c>
      <c r="C60" s="22"/>
      <c r="D60" s="26">
        <v>0.02</v>
      </c>
    </row>
    <row r="62" ht="13.5" thickBot="1"/>
    <row r="63" spans="2:4" ht="13.5" thickBot="1">
      <c r="B63" s="75" t="s">
        <v>48</v>
      </c>
      <c r="C63" s="76"/>
      <c r="D63" s="77">
        <v>0</v>
      </c>
    </row>
  </sheetData>
  <sheetProtection/>
  <mergeCells count="4">
    <mergeCell ref="K2:O2"/>
    <mergeCell ref="H2:J2"/>
    <mergeCell ref="P33:Q33"/>
    <mergeCell ref="P32:Q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Nutzer</cp:lastModifiedBy>
  <dcterms:created xsi:type="dcterms:W3CDTF">2014-11-19T08:26:25Z</dcterms:created>
  <dcterms:modified xsi:type="dcterms:W3CDTF">2015-01-28T08:58:52Z</dcterms:modified>
  <cp:category/>
  <cp:version/>
  <cp:contentType/>
  <cp:contentStatus/>
</cp:coreProperties>
</file>